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NAVARRA\"/>
    </mc:Choice>
  </mc:AlternateContent>
  <workbookProtection workbookAlgorithmName="SHA-512" workbookHashValue="uxOb/qkutB+GB1JZmDOIMPD+TMmyVc2d0EYLxbTxt+mGCQSBzlVLc/KbFSByLcnp9d3soo2FYLmDZ1DCNFiqdw==" workbookSaltValue="Uh+Gj3FyGl8X86rbkwk3sg=="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BG16" i="8" s="1"/>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P13" i="14"/>
  <c r="S26" i="12"/>
  <c r="AN23" i="17"/>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BD11" i="13"/>
  <c r="BD18" i="8"/>
  <c r="E23" i="12"/>
  <c r="AP9" i="11"/>
  <c r="BE12" i="21"/>
  <c r="BE14" i="21" s="1"/>
  <c r="BE31" i="21" s="1"/>
  <c r="EN31" i="8"/>
  <c r="BA14" i="16"/>
  <c r="N29" i="11"/>
  <c r="N10" i="11"/>
  <c r="N11" i="11"/>
  <c r="M26" i="2"/>
  <c r="ES31" i="8"/>
  <c r="G23" i="12"/>
  <c r="AA31" i="8"/>
  <c r="EP31" i="8"/>
  <c r="ER31" i="13"/>
  <c r="EP31" i="19"/>
  <c r="S14" i="16"/>
  <c r="P14" i="16"/>
  <c r="F13" i="16"/>
  <c r="N30" i="16"/>
  <c r="H14" i="21"/>
  <c r="K26" i="2"/>
  <c r="K23" i="2"/>
  <c r="N26" i="2"/>
  <c r="M14" i="2"/>
  <c r="M23" i="2"/>
  <c r="N14" i="2"/>
  <c r="N23" i="2"/>
  <c r="K30" i="2"/>
  <c r="F30" i="17"/>
  <c r="F14" i="7"/>
  <c r="T14" i="16"/>
  <c r="T14" i="20"/>
  <c r="BF25" i="8"/>
  <c r="AY14" i="8"/>
  <c r="BD9" i="8"/>
  <c r="BF9" i="8"/>
  <c r="C30" i="7"/>
  <c r="AO14" i="21"/>
  <c r="AP14" i="16"/>
  <c r="T23" i="17"/>
  <c r="T26" i="17" s="1"/>
  <c r="T30" i="17" s="1"/>
  <c r="BG16" i="13"/>
  <c r="BE17" i="13"/>
  <c r="BE16" i="13"/>
  <c r="X32" i="20"/>
  <c r="G30" i="14"/>
  <c r="G23" i="14"/>
  <c r="BF17" i="8" l="1"/>
  <c r="BD12" i="8"/>
  <c r="Z14" i="17"/>
  <c r="R8" i="9"/>
  <c r="AA28" i="16"/>
  <c r="X22" i="17"/>
  <c r="X10" i="17"/>
  <c r="X18" i="17"/>
  <c r="X18" i="20"/>
  <c r="X20" i="20"/>
  <c r="V16" i="16"/>
  <c r="V12" i="16"/>
  <c r="T19" i="20"/>
  <c r="X25" i="16"/>
  <c r="X30" i="16" s="1"/>
  <c r="S19" i="14"/>
  <c r="V19" i="14" s="1"/>
  <c r="S29" i="14"/>
  <c r="V29" i="14" s="1"/>
  <c r="R12" i="14"/>
  <c r="R19" i="14"/>
  <c r="R29" i="14"/>
  <c r="T13" i="11"/>
  <c r="T25" i="11"/>
  <c r="T11" i="11"/>
  <c r="S9" i="14"/>
  <c r="V9" i="14" s="1"/>
  <c r="T16" i="11"/>
  <c r="X25" i="17"/>
  <c r="X17" i="17"/>
  <c r="X21" i="17"/>
  <c r="X11" i="17"/>
  <c r="U10" i="21"/>
  <c r="X17" i="20"/>
  <c r="S22" i="17"/>
  <c r="AZ28" i="11"/>
  <c r="X9" i="16"/>
  <c r="X31" i="16" s="1"/>
  <c r="X12" i="16"/>
  <c r="X22" i="16"/>
  <c r="R13" i="17"/>
  <c r="AS14" i="8"/>
  <c r="AS31" i="8" s="1"/>
  <c r="H13" i="10"/>
  <c r="BF23" i="19"/>
  <c r="BF9" i="13"/>
  <c r="BB14" i="13"/>
  <c r="BF20" i="8"/>
  <c r="B23" i="7"/>
  <c r="AP11" i="11"/>
  <c r="Y11" i="11"/>
  <c r="F9" i="2"/>
  <c r="E28" i="3"/>
  <c r="G22" i="3"/>
  <c r="G20" i="3"/>
  <c r="G18" i="3"/>
  <c r="G16" i="3"/>
  <c r="I11" i="3"/>
  <c r="K16" i="7"/>
  <c r="E13" i="6"/>
  <c r="AL17" i="11"/>
  <c r="AL20" i="11"/>
  <c r="BG25" i="13"/>
  <c r="BE25" i="13"/>
  <c r="BC23" i="13"/>
  <c r="AZ23" i="13"/>
  <c r="BB23" i="13"/>
  <c r="BA23" i="13"/>
  <c r="BD20" i="13"/>
  <c r="BG21" i="13"/>
  <c r="BD21" i="13"/>
  <c r="AY30" i="13"/>
  <c r="BF28" i="13"/>
  <c r="AZ30" i="13"/>
  <c r="R30" i="17"/>
  <c r="N9" i="11"/>
  <c r="J18" i="7"/>
  <c r="B20" i="6"/>
  <c r="AB31" i="19"/>
  <c r="CN31" i="19"/>
  <c r="BF16" i="13"/>
  <c r="BG9" i="13"/>
  <c r="BD9" i="13"/>
  <c r="AM31" i="13"/>
  <c r="AC31" i="13"/>
  <c r="AM31" i="8"/>
  <c r="H30" i="12"/>
  <c r="D30" i="12"/>
  <c r="BE29" i="8"/>
  <c r="BD28" i="8"/>
  <c r="Z31" i="8"/>
  <c r="G26" i="7"/>
  <c r="G26" i="12"/>
  <c r="T31" i="8"/>
  <c r="R31" i="8"/>
  <c r="H26" i="12"/>
  <c r="D26" i="7"/>
  <c r="I31" i="8"/>
  <c r="BE25" i="8"/>
  <c r="BG25" i="8"/>
  <c r="BG9" i="8"/>
  <c r="BE9" i="8"/>
  <c r="I9" i="7" s="1"/>
  <c r="BG12" i="8"/>
  <c r="BD16" i="8"/>
  <c r="AR14" i="21"/>
  <c r="BM31" i="8"/>
  <c r="EL31" i="8"/>
  <c r="I30" i="11"/>
  <c r="AQ19" i="11"/>
  <c r="D22" i="6"/>
  <c r="G26" i="3"/>
  <c r="G29" i="3"/>
  <c r="I21" i="3"/>
  <c r="E21" i="3"/>
  <c r="I19" i="3"/>
  <c r="I17" i="3"/>
  <c r="J11" i="10"/>
  <c r="L11" i="10" s="1"/>
  <c r="BE23" i="19"/>
  <c r="R31" i="19"/>
  <c r="V31" i="19"/>
  <c r="AD31" i="19"/>
  <c r="AS14" i="21"/>
  <c r="AO23" i="20"/>
  <c r="AT23" i="20"/>
  <c r="AQ31" i="19"/>
  <c r="J23" i="17"/>
  <c r="BL25" i="16"/>
  <c r="BE19" i="13"/>
  <c r="AQ31" i="13"/>
  <c r="U31" i="13"/>
  <c r="S31" i="13"/>
  <c r="BE28" i="13"/>
  <c r="BD29" i="13"/>
  <c r="BC14" i="13"/>
  <c r="BG10" i="13"/>
  <c r="BE9" i="13"/>
  <c r="B30" i="7"/>
  <c r="BH30" i="16"/>
  <c r="AI31" i="8"/>
  <c r="W31" i="8"/>
  <c r="BD22" i="8"/>
  <c r="H22" i="7" s="1"/>
  <c r="BD21" i="8"/>
  <c r="H21" i="7" s="1"/>
  <c r="C12" i="6"/>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C30" i="2"/>
  <c r="D30" i="2" s="1"/>
  <c r="AL18" i="11"/>
  <c r="AO21" i="17"/>
  <c r="BI18" i="16"/>
  <c r="B29" i="6"/>
  <c r="AN9" i="11"/>
  <c r="K9" i="7"/>
  <c r="AO11" i="11"/>
  <c r="AL9" i="11"/>
  <c r="H12" i="2"/>
  <c r="H10" i="2"/>
  <c r="AM11" i="11"/>
  <c r="BD26" i="19"/>
  <c r="AB14" i="21"/>
  <c r="AB31" i="21" s="1"/>
  <c r="AE14" i="21"/>
  <c r="AE31" i="21" s="1"/>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F12" i="11"/>
  <c r="AQ12" i="11" s="1"/>
  <c r="AQ10" i="11"/>
  <c r="X30" i="11"/>
  <c r="AC18" i="11"/>
  <c r="AC22" i="11"/>
  <c r="J14" i="11"/>
  <c r="K23" i="11"/>
  <c r="K26" i="11" s="1"/>
  <c r="E13" i="3"/>
  <c r="G13" i="3"/>
  <c r="G11" i="3"/>
  <c r="K25" i="7"/>
  <c r="E9" i="6"/>
  <c r="K9" i="12" s="1"/>
  <c r="AO20" i="11"/>
  <c r="E11" i="6"/>
  <c r="E28" i="6"/>
  <c r="AL11" i="11"/>
  <c r="B11" i="6"/>
  <c r="J21" i="2"/>
  <c r="AN11" i="11"/>
  <c r="AM21" i="11"/>
  <c r="AN13" i="11"/>
  <c r="B21" i="6"/>
  <c r="J12" i="2"/>
  <c r="H9" i="2"/>
  <c r="D19" i="6"/>
  <c r="BI17" i="16"/>
  <c r="L11" i="14"/>
  <c r="E20" i="6"/>
  <c r="H16" i="2"/>
  <c r="T10" i="21"/>
  <c r="BD23" i="19"/>
  <c r="BB31" i="19"/>
  <c r="BE30" i="19"/>
  <c r="AT26" i="20"/>
  <c r="AP30" i="20"/>
  <c r="Y31" i="19"/>
  <c r="AG31" i="19"/>
  <c r="F17" i="17"/>
  <c r="AZ14" i="13"/>
  <c r="BM31" i="13"/>
  <c r="AD31" i="13"/>
  <c r="BE18" i="13"/>
  <c r="BG19" i="13"/>
  <c r="BG20" i="13"/>
  <c r="BE21" i="13"/>
  <c r="BD28" i="13"/>
  <c r="BC30" i="13"/>
  <c r="BG29" i="13"/>
  <c r="BB30" i="13"/>
  <c r="BF28" i="8"/>
  <c r="J28" i="7" s="1"/>
  <c r="BC30" i="8"/>
  <c r="AZ30" i="8"/>
  <c r="BB30" i="8"/>
  <c r="BH26" i="16"/>
  <c r="AJ31" i="8"/>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H16" i="7"/>
  <c r="K12" i="7"/>
  <c r="K10" i="7"/>
  <c r="H25" i="7"/>
  <c r="AM16" i="11"/>
  <c r="AN20" i="11"/>
  <c r="J12" i="7"/>
  <c r="I23" i="2"/>
  <c r="J23" i="2" s="1"/>
  <c r="B12" i="6"/>
  <c r="F20" i="2"/>
  <c r="C11" i="6"/>
  <c r="E17" i="6"/>
  <c r="D17" i="2"/>
  <c r="L9" i="14"/>
  <c r="C29" i="6"/>
  <c r="I29" i="12" s="1"/>
  <c r="AL10" i="11"/>
  <c r="C10" i="6"/>
  <c r="C9" i="6"/>
  <c r="E16" i="6"/>
  <c r="K16" i="12" s="1"/>
  <c r="E23" i="2"/>
  <c r="F23" i="2" s="1"/>
  <c r="F16" i="2"/>
  <c r="AL22" i="11"/>
  <c r="H20" i="2"/>
  <c r="H18" i="7"/>
  <c r="AN18" i="11"/>
  <c r="H18" i="2"/>
  <c r="BI16" i="16"/>
  <c r="G23" i="2"/>
  <c r="J20" i="2"/>
  <c r="C20" i="6"/>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M13" i="11"/>
  <c r="J9" i="2"/>
  <c r="AO9" i="17"/>
  <c r="B22" i="6"/>
  <c r="AN22" i="11"/>
  <c r="L22" i="14"/>
  <c r="C22" i="6"/>
  <c r="J22" i="2"/>
  <c r="J20" i="7"/>
  <c r="BC33" i="21"/>
  <c r="BE14" i="19"/>
  <c r="Q31" i="19"/>
  <c r="X31" i="19"/>
  <c r="AF31" i="19"/>
  <c r="AN31" i="19"/>
  <c r="BI31" i="19"/>
  <c r="AY31" i="19"/>
  <c r="AQ14" i="21"/>
  <c r="AT30" i="20"/>
  <c r="BC31" i="19"/>
  <c r="BF30" i="19"/>
  <c r="AL31" i="19"/>
  <c r="AR31" i="19"/>
  <c r="EL31" i="19"/>
  <c r="AO26" i="20"/>
  <c r="S31" i="19"/>
  <c r="AA31" i="19"/>
  <c r="AI31" i="19"/>
  <c r="BK31" i="19"/>
  <c r="AR26" i="20"/>
  <c r="AO30" i="20"/>
  <c r="CL31" i="19"/>
  <c r="M14" i="21"/>
  <c r="M31" i="21" s="1"/>
  <c r="AM14" i="21"/>
  <c r="ER31" i="19"/>
  <c r="AP31" i="19"/>
  <c r="AM31" i="19"/>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Z32" i="20"/>
  <c r="T32" i="20"/>
  <c r="AM32" i="20"/>
  <c r="Q32" i="20"/>
  <c r="W32" i="21"/>
  <c r="E32" i="20"/>
  <c r="AV32" i="20"/>
  <c r="O32" i="20"/>
  <c r="AQ32" i="21"/>
  <c r="Y32" i="20"/>
  <c r="L32" i="20"/>
  <c r="AJ32" i="20"/>
  <c r="AH32" i="20"/>
  <c r="I32" i="20"/>
  <c r="O18" i="11"/>
  <c r="AB32" i="20"/>
  <c r="AI32" i="20"/>
  <c r="S32" i="20"/>
  <c r="R32" i="20"/>
  <c r="N32" i="20"/>
  <c r="AA32" i="20"/>
  <c r="G14" i="14"/>
  <c r="AC32" i="20"/>
  <c r="AN32" i="20"/>
  <c r="O17" i="11"/>
  <c r="X12" i="21" l="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BK21" i="11"/>
  <c r="BK11" i="11"/>
  <c r="V11" i="11"/>
  <c r="AZ18" i="11"/>
  <c r="BI25" i="11"/>
  <c r="AP10" i="21"/>
  <c r="BM12" i="11"/>
  <c r="AP21" i="20"/>
  <c r="V13" i="11"/>
  <c r="BH20" i="16"/>
  <c r="V9" i="11"/>
  <c r="BJ11" i="11"/>
  <c r="BI19" i="11"/>
  <c r="BH22" i="16"/>
  <c r="BJ16" i="11"/>
  <c r="R10" i="21"/>
  <c r="R14" i="21" s="1"/>
  <c r="R31" i="21" s="1"/>
  <c r="AP22" i="20"/>
  <c r="BJ20" i="11"/>
  <c r="T18" i="11"/>
  <c r="BH11" i="16"/>
  <c r="S20" i="14"/>
  <c r="V20" i="14" s="1"/>
  <c r="BK13" i="11"/>
  <c r="BH16" i="11"/>
  <c r="BH19" i="16"/>
  <c r="P18" i="17"/>
  <c r="BM29" i="11"/>
  <c r="BF29" i="11"/>
  <c r="BH19" i="11"/>
  <c r="BK19" i="11"/>
  <c r="BK9" i="11"/>
  <c r="S9" i="17"/>
  <c r="BG29" i="11"/>
  <c r="BI10" i="11"/>
  <c r="Q10" i="21"/>
  <c r="Q14" i="21" s="1"/>
  <c r="Q31" i="21" s="1"/>
  <c r="BM25" i="11"/>
  <c r="BK25" i="11"/>
  <c r="V28" i="11"/>
  <c r="BH20" i="11"/>
  <c r="BI18" i="11"/>
  <c r="BG9" i="11"/>
  <c r="S28" i="14"/>
  <c r="V28" i="14" s="1"/>
  <c r="BL11" i="11"/>
  <c r="BH28" i="16"/>
  <c r="R18" i="20"/>
  <c r="R23" i="20" s="1"/>
  <c r="V29" i="11"/>
  <c r="BL21" i="11"/>
  <c r="Q21" i="11" s="1"/>
  <c r="V22" i="11"/>
  <c r="BK18" i="11"/>
  <c r="AZ21" i="11"/>
  <c r="T18" i="16"/>
  <c r="AO28" i="17"/>
  <c r="BL29" i="11"/>
  <c r="P29" i="11" s="1"/>
  <c r="BJ25" i="11"/>
  <c r="T16" i="16"/>
  <c r="T23" i="16" s="1"/>
  <c r="T31" i="16" s="1"/>
  <c r="AZ16" i="11"/>
  <c r="AZ23" i="11" s="1"/>
  <c r="BW20" i="20"/>
  <c r="BU16" i="17"/>
  <c r="BV19" i="16"/>
  <c r="BW19" i="20"/>
  <c r="BV18" i="16"/>
  <c r="X20" i="16"/>
  <c r="BW18" i="20"/>
  <c r="BU10" i="17"/>
  <c r="BV12" i="16"/>
  <c r="BW25" i="20"/>
  <c r="BW12" i="20"/>
  <c r="BU22" i="17"/>
  <c r="BV16" i="16"/>
  <c r="X21" i="16"/>
  <c r="BW11" i="20"/>
  <c r="BU9" i="17"/>
  <c r="S21" i="17"/>
  <c r="BU19" i="17"/>
  <c r="BW28" i="20"/>
  <c r="BW10" i="20"/>
  <c r="BU13" i="17"/>
  <c r="BU33" i="17" s="1"/>
  <c r="BV22" i="16"/>
  <c r="BW21" i="20"/>
  <c r="BU12" i="17"/>
  <c r="BV9" i="16"/>
  <c r="AA29" i="16"/>
  <c r="S25" i="17"/>
  <c r="AA18" i="16"/>
  <c r="AZ20" i="11"/>
  <c r="AZ12" i="11"/>
  <c r="S11" i="14"/>
  <c r="V11" i="14" s="1"/>
  <c r="AZ11"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10" i="2"/>
  <c r="L28" i="2"/>
  <c r="X21" i="20"/>
  <c r="S16" i="17"/>
  <c r="S17" i="17"/>
  <c r="L12" i="2"/>
  <c r="L25" i="2"/>
  <c r="L13" i="2"/>
  <c r="X10" i="21"/>
  <c r="L19" i="2"/>
  <c r="U9" i="17"/>
  <c r="U31" i="17" s="1"/>
  <c r="L9" i="2"/>
  <c r="V25" i="16"/>
  <c r="X13" i="16"/>
  <c r="BF11" i="11"/>
  <c r="BH21" i="16"/>
  <c r="BL9" i="11"/>
  <c r="BH18" i="16"/>
  <c r="BF19" i="11"/>
  <c r="BJ19" i="11"/>
  <c r="BL18" i="11"/>
  <c r="BI28" i="11"/>
  <c r="BK12" i="11"/>
  <c r="BF25" i="11"/>
  <c r="S18" i="16"/>
  <c r="AZ29" i="11"/>
  <c r="BK16" i="11"/>
  <c r="BJ21" i="11"/>
  <c r="V21" i="11"/>
  <c r="BF22" i="11"/>
  <c r="BH9" i="11"/>
  <c r="BI16" i="11"/>
  <c r="BJ29" i="11"/>
  <c r="BM13" i="11"/>
  <c r="BJ12" i="11"/>
  <c r="AP16" i="20"/>
  <c r="BG16" i="11"/>
  <c r="AZ13" i="11"/>
  <c r="BH13" i="11"/>
  <c r="V20" i="11"/>
  <c r="BL13" i="11"/>
  <c r="BL25" i="11"/>
  <c r="BH18" i="11"/>
  <c r="BG19" i="11"/>
  <c r="AZ9" i="11"/>
  <c r="BM20" i="11"/>
  <c r="BJ28" i="11"/>
  <c r="BU28" i="17"/>
  <c r="BU11" i="17"/>
  <c r="BW9" i="20"/>
  <c r="BU21" i="17"/>
  <c r="BV17" i="16"/>
  <c r="BW17" i="20"/>
  <c r="BV25" i="16"/>
  <c r="BW16" i="20"/>
  <c r="U10" i="17"/>
  <c r="BV10" i="16"/>
  <c r="BU18" i="17"/>
  <c r="S11" i="17"/>
  <c r="BV20" i="16"/>
  <c r="AZ22" i="11"/>
  <c r="R28" i="14"/>
  <c r="X16" i="17"/>
  <c r="T17" i="11"/>
  <c r="P16" i="17"/>
  <c r="P23" i="17" s="1"/>
  <c r="P31" i="17" s="1"/>
  <c r="BF12" i="11"/>
  <c r="BH25" i="16"/>
  <c r="BK20" i="11"/>
  <c r="BJ10" i="11"/>
  <c r="Q16" i="17"/>
  <c r="BF16" i="11"/>
  <c r="BL22" i="11"/>
  <c r="BI22" i="11"/>
  <c r="BK10" i="11"/>
  <c r="L22" i="2"/>
  <c r="L16" i="2"/>
  <c r="X19" i="16"/>
  <c r="AA11" i="16"/>
  <c r="V9" i="16"/>
  <c r="BM16" i="11"/>
  <c r="P16" i="11" s="1"/>
  <c r="AP26" i="21"/>
  <c r="AP18" i="20"/>
  <c r="BG21" i="11"/>
  <c r="BU25" i="17"/>
  <c r="BV28" i="16"/>
  <c r="BV13" i="16"/>
  <c r="BW13" i="20"/>
  <c r="BV21" i="16"/>
  <c r="BU29" i="17"/>
  <c r="BV11" i="16"/>
  <c r="BU20" i="17"/>
  <c r="BW29" i="20"/>
  <c r="BW22" i="20"/>
  <c r="BV29" i="16"/>
  <c r="BU17" i="17"/>
  <c r="AA20" i="16"/>
  <c r="AZ17" i="11"/>
  <c r="BF20" i="11"/>
  <c r="S16" i="16"/>
  <c r="BL20" i="11"/>
  <c r="Q20" i="11" s="1"/>
  <c r="BL16" i="11"/>
  <c r="BH21" i="11"/>
  <c r="AZ25" i="11"/>
  <c r="AZ30" i="11" s="1"/>
  <c r="BK17" i="11"/>
  <c r="BM18" i="11"/>
  <c r="BH17" i="11"/>
  <c r="BH23" i="11" s="1"/>
  <c r="AQ12" i="21"/>
  <c r="BH25" i="11"/>
  <c r="BI21" i="11"/>
  <c r="L29" i="2"/>
  <c r="L17" i="2"/>
  <c r="L18" i="2"/>
  <c r="L20" i="2"/>
  <c r="L21" i="2"/>
  <c r="AA9" i="16"/>
  <c r="T28" i="11"/>
  <c r="T19" i="11"/>
  <c r="R22" i="14"/>
  <c r="R11" i="14"/>
  <c r="S21" i="14"/>
  <c r="V21" i="14" s="1"/>
  <c r="S10" i="14"/>
  <c r="V10" i="14" s="1"/>
  <c r="AP14" i="20"/>
  <c r="AO13" i="17"/>
  <c r="AO18" i="17"/>
  <c r="AM20" i="11"/>
  <c r="AM22" i="11"/>
  <c r="AM25" i="11"/>
  <c r="AQ26" i="21"/>
  <c r="AO26" i="17"/>
  <c r="V10" i="21"/>
  <c r="AO17" i="17"/>
  <c r="S28" i="17"/>
  <c r="AM19" i="11"/>
  <c r="AO10" i="17"/>
  <c r="AO30" i="17"/>
  <c r="AP23" i="20"/>
  <c r="AP30" i="21"/>
  <c r="X14" i="20"/>
  <c r="AM17" i="11"/>
  <c r="S13" i="17"/>
  <c r="X16" i="16"/>
  <c r="X23" i="16" s="1"/>
  <c r="U13" i="17"/>
  <c r="L11" i="2"/>
  <c r="V21" i="16"/>
  <c r="V18" i="16"/>
  <c r="V12" i="21"/>
  <c r="X22" i="20"/>
  <c r="X9" i="17"/>
  <c r="X12" i="17"/>
  <c r="AA10" i="16"/>
  <c r="T20" i="11"/>
  <c r="S16" i="14"/>
  <c r="V16" i="14" s="1"/>
  <c r="T9" i="11"/>
  <c r="T29" i="11"/>
  <c r="T21" i="11"/>
  <c r="AM9" i="11"/>
  <c r="R25" i="14"/>
  <c r="R17" i="14"/>
  <c r="R10" i="14"/>
  <c r="S17" i="14"/>
  <c r="V17" i="14" s="1"/>
  <c r="S12" i="14"/>
  <c r="V12" i="14" s="1"/>
  <c r="V16" i="20"/>
  <c r="V23" i="20" s="1"/>
  <c r="V19" i="16"/>
  <c r="V10" i="16"/>
  <c r="AA12" i="21"/>
  <c r="X19" i="20"/>
  <c r="T18" i="20"/>
  <c r="AA16" i="16"/>
  <c r="X13" i="17"/>
  <c r="AA17" i="16"/>
  <c r="AA25" i="16"/>
  <c r="V13" i="16"/>
  <c r="T22" i="11"/>
  <c r="T12" i="11"/>
  <c r="R18" i="14"/>
  <c r="S18" i="14"/>
  <c r="V18" i="14" s="1"/>
  <c r="S13" i="14"/>
  <c r="V13" i="14" s="1"/>
  <c r="R13" i="14"/>
  <c r="BF23" i="13"/>
  <c r="I16" i="12"/>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S23" i="16"/>
  <c r="S31" i="16" s="1"/>
  <c r="AO28" i="11"/>
  <c r="J20" i="12"/>
  <c r="J28" i="10"/>
  <c r="L28" i="10" s="1"/>
  <c r="J19" i="12"/>
  <c r="AL28" i="11"/>
  <c r="I9" i="12"/>
  <c r="H26" i="3"/>
  <c r="I26" i="3" s="1"/>
  <c r="D26" i="3"/>
  <c r="E26" i="3" s="1"/>
  <c r="J19" i="7"/>
  <c r="E26" i="12"/>
  <c r="C26" i="7"/>
  <c r="BD19" i="8"/>
  <c r="H19" i="7" s="1"/>
  <c r="BE19" i="8"/>
  <c r="I19" i="7" s="1"/>
  <c r="BG19" i="8"/>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Q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K12" i="12"/>
  <c r="AJ23" i="11"/>
  <c r="D23" i="5"/>
  <c r="P18" i="11"/>
  <c r="D25" i="2"/>
  <c r="E25" i="6"/>
  <c r="K25" i="12" s="1"/>
  <c r="AO25" i="11"/>
  <c r="F17" i="2"/>
  <c r="H17" i="2"/>
  <c r="J17" i="2"/>
  <c r="F14" i="3"/>
  <c r="E9" i="3"/>
  <c r="G9" i="3"/>
  <c r="AO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BV14" i="16"/>
  <c r="D31" i="12"/>
  <c r="I18" i="12"/>
  <c r="BW33" i="20"/>
  <c r="Q29" i="11"/>
  <c r="Q10" i="11"/>
  <c r="D11" i="6"/>
  <c r="E11" i="3"/>
  <c r="BC26" i="8"/>
  <c r="BF26" i="8" s="1"/>
  <c r="R16" i="14"/>
  <c r="BH17" i="16"/>
  <c r="AO27" i="17"/>
  <c r="AM18" i="11"/>
  <c r="BI17" i="1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12" i="11"/>
  <c r="H32" i="17"/>
  <c r="AW32" i="11"/>
  <c r="AV32" i="21"/>
  <c r="K32" i="20"/>
  <c r="P12" i="11" l="1"/>
  <c r="R31" i="20"/>
  <c r="V31" i="20"/>
  <c r="Q16" i="11"/>
  <c r="BL23" i="11"/>
  <c r="P20" i="11"/>
  <c r="BK23" i="11"/>
  <c r="Q9" i="11"/>
  <c r="P21" i="11"/>
  <c r="BV23" i="16"/>
  <c r="BV26" i="16" s="1"/>
  <c r="BV30" i="16" s="1"/>
  <c r="P25" i="11"/>
  <c r="BJ23" i="11"/>
  <c r="P17" i="11"/>
  <c r="AZ14" i="11"/>
  <c r="AZ31" i="11"/>
  <c r="P13" i="11"/>
  <c r="Q13" i="11"/>
  <c r="AZ26" i="11"/>
  <c r="S14" i="14"/>
  <c r="BI23" i="11"/>
  <c r="P9" i="11"/>
  <c r="U14" i="17"/>
  <c r="Q25" i="11"/>
  <c r="Q23" i="17"/>
  <c r="Q31" i="17" s="1"/>
  <c r="BK14" i="1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AD32" i="16"/>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V32" i="16"/>
  <c r="AJ32" i="21"/>
  <c r="F33" i="11" l="1"/>
  <c r="AO33" i="1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<sst xmlns="http://schemas.openxmlformats.org/spreadsheetml/2006/main" count="2682" uniqueCount="1192">
  <si>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</si>
  <si>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</si>
  <si>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</si>
  <si>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</si>
  <si>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</si>
  <si>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</si>
  <si>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</si>
  <si>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</si>
  <si>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</si>
  <si>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</si>
  <si>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</si>
  <si>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</si>
  <si>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</si>
  <si>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</si>
  <si>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</si>
  <si>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</si>
  <si>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</si>
  <si>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</si>
  <si>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</si>
  <si>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</si>
  <si>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</si>
  <si>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</si>
  <si>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</si>
  <si>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</si>
  <si>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</si>
  <si>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</si>
  <si>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</si>
  <si>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</si>
  <si>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</si>
  <si>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</si>
  <si>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</si>
  <si>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</si>
  <si>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</si>
  <si>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</si>
  <si>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</si>
  <si>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</si>
  <si>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</si>
  <si>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</si>
  <si>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</si>
  <si>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</si>
  <si>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</si>
  <si>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</si>
  <si>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</si>
  <si>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</si>
  <si>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</si>
  <si>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</si>
  <si>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</si>
  <si>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</si>
  <si>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</si>
  <si>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</si>
  <si>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</si>
  <si>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</si>
  <si>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</si>
  <si>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</si>
  <si>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</si>
  <si>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</si>
  <si>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</si>
  <si>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</si>
  <si>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</si>
  <si>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</si>
  <si>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</si>
  <si>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</si>
  <si>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</si>
  <si>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</si>
  <si>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</si>
  <si>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</si>
  <si>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</si>
  <si>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</si>
  <si>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</si>
  <si>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</si>
  <si>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</si>
  <si>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</si>
  <si>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</si>
  <si>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</si>
  <si>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</si>
  <si>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</si>
  <si>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</si>
  <si>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</si>
  <si>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</si>
  <si>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</si>
  <si>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</si>
  <si>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</si>
  <si>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</si>
  <si>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</si>
  <si>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</si>
  <si>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</si>
  <si>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</si>
  <si>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</si>
  <si>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</si>
  <si>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</si>
  <si>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</si>
  <si>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</si>
  <si>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</si>
  <si>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</si>
  <si>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</si>
  <si>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</si>
  <si>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</si>
  <si>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</si>
  <si>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</si>
  <si>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</si>
  <si>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</si>
  <si>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</si>
  <si>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</si>
  <si>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</si>
  <si>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</si>
  <si>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</si>
  <si>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</si>
  <si>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</si>
  <si>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</si>
  <si>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</si>
  <si>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</si>
  <si>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</si>
  <si>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</si>
  <si>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</si>
  <si>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</si>
  <si>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</si>
  <si>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</si>
  <si>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</si>
  <si>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</si>
  <si>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</si>
  <si>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</si>
  <si>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</si>
  <si>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</si>
  <si>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</si>
  <si>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</si>
  <si>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</si>
  <si>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</si>
  <si>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</si>
  <si>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</si>
  <si>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</si>
  <si>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</si>
  <si>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</si>
  <si>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</si>
  <si>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</si>
  <si>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</si>
  <si>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</si>
  <si>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</si>
  <si>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</si>
  <si>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</si>
  <si>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</si>
  <si>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</si>
  <si>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</si>
  <si>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</si>
  <si>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</si>
  <si>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</si>
  <si>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</si>
  <si>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</si>
  <si>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</si>
  <si>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</si>
  <si>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</si>
  <si>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</si>
  <si>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</si>
  <si>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</si>
  <si>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</si>
  <si>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</si>
  <si>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</si>
  <si>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</si>
  <si>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</si>
  <si>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</si>
  <si>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</si>
  <si>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</si>
  <si>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</si>
  <si>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</si>
  <si>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</si>
  <si>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</si>
  <si>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</si>
  <si>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</si>
  <si>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</si>
  <si>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</si>
  <si>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</si>
  <si>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</si>
  <si>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</si>
  <si>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</si>
  <si>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</si>
  <si>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</si>
  <si>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</si>
  <si>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</si>
  <si>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</si>
  <si>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</si>
  <si>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</si>
  <si>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</si>
  <si>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</si>
  <si>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</si>
  <si>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</si>
  <si>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</si>
  <si>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</si>
  <si>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</si>
  <si>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</si>
  <si>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</si>
  <si>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</si>
  <si>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</si>
  <si>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</si>
  <si>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</si>
  <si>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</si>
  <si>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</si>
  <si>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</si>
  <si>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</si>
  <si>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</si>
  <si>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</si>
  <si>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</si>
  <si>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</si>
  <si>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</si>
  <si>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</si>
  <si>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</si>
  <si>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</si>
  <si>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</si>
  <si>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</si>
  <si>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</si>
  <si>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</si>
  <si>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</si>
  <si>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</si>
  <si>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</si>
  <si>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</si>
  <si>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</si>
  <si>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</si>
  <si>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</si>
  <si>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</si>
  <si>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</si>
  <si>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</si>
  <si>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</si>
  <si>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</si>
  <si>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</si>
  <si>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</si>
  <si>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</si>
  <si>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</si>
  <si>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</si>
  <si>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</si>
  <si>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</si>
  <si>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</si>
  <si>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</si>
  <si>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</si>
  <si>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</si>
  <si>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</si>
  <si>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</si>
  <si>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</si>
  <si>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</si>
  <si>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</si>
  <si>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</si>
  <si>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</si>
  <si>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</si>
  <si>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</si>
  <si>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</si>
  <si>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</si>
  <si>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</si>
  <si>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</si>
  <si>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</si>
  <si>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</si>
  <si>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</si>
  <si>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</si>
  <si>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</si>
  <si>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</si>
  <si>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</si>
  <si>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</si>
  <si>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</si>
  <si>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</si>
  <si>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</si>
  <si>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</si>
  <si>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</si>
  <si>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</si>
  <si>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</si>
  <si>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</si>
  <si>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</si>
  <si>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</si>
  <si>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</si>
  <si>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</si>
  <si>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</si>
  <si>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</si>
  <si>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</si>
  <si>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</si>
  <si>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</si>
  <si>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</si>
  <si>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</si>
  <si>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</si>
  <si>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</si>
  <si>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</si>
  <si>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</si>
  <si>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</si>
  <si>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</si>
  <si>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</si>
  <si>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</si>
  <si>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</si>
  <si>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</si>
  <si>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</si>
  <si>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</si>
  <si>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</si>
  <si>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</si>
  <si>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</si>
  <si>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</si>
  <si>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</si>
  <si>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</si>
  <si>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</si>
  <si>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</si>
  <si>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</si>
  <si>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</si>
  <si>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</si>
  <si>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</si>
  <si>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</si>
  <si>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</si>
  <si>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</si>
  <si>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</si>
  <si>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</si>
  <si>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</si>
  <si>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</si>
  <si>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</si>
  <si>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</si>
  <si>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</si>
  <si>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</si>
  <si>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</si>
  <si>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</si>
  <si>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</si>
  <si>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</si>
  <si>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</si>
  <si>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</si>
  <si>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</si>
  <si>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</si>
  <si>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</si>
  <si>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</si>
  <si>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</si>
  <si>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</si>
  <si>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</si>
  <si>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</si>
  <si>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</si>
  <si>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</si>
  <si>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</si>
  <si>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</si>
  <si>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</si>
  <si>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</si>
  <si>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</si>
  <si>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</si>
  <si>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</si>
  <si>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</si>
  <si>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</si>
  <si>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</si>
  <si>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</si>
  <si>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</si>
  <si>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</si>
  <si>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</si>
  <si>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</si>
  <si>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</si>
  <si>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</si>
  <si>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</si>
  <si>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</si>
  <si>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</si>
  <si>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</si>
  <si>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</si>
  <si>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</si>
  <si>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</si>
  <si>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</si>
  <si>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</si>
  <si>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</si>
  <si>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</si>
  <si>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</si>
  <si>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</si>
  <si>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</si>
  <si>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</si>
  <si>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</si>
  <si>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</si>
  <si>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</si>
  <si>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</si>
  <si>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</si>
  <si>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</si>
  <si>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</si>
  <si>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</si>
  <si>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</si>
  <si>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</si>
  <si>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</si>
  <si>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</si>
  <si>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</si>
  <si>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</si>
  <si>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</si>
  <si>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</si>
  <si>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</si>
  <si>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</si>
  <si>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</si>
  <si>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</si>
  <si>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</si>
  <si>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</si>
  <si>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</si>
  <si>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</si>
  <si>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</si>
  <si>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</si>
  <si>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</si>
  <si>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</si>
  <si>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</si>
  <si>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</si>
  <si>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</si>
  <si>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</si>
  <si>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</si>
  <si>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</si>
  <si>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</si>
  <si>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</si>
  <si>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</si>
  <si>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</si>
  <si>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</si>
  <si>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</si>
  <si>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</si>
  <si>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</si>
  <si>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</si>
  <si>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</si>
  <si>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</si>
  <si>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</si>
  <si>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</si>
  <si>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</si>
  <si>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</si>
  <si>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</si>
  <si>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</si>
  <si>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</si>
  <si>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</si>
  <si>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</si>
  <si>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</si>
  <si>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</si>
  <si>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</si>
  <si>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</si>
  <si>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</si>
  <si>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</si>
  <si>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</si>
  <si>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</si>
  <si>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</si>
  <si>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</si>
  <si>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</si>
  <si>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</si>
  <si>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</si>
  <si>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</si>
  <si>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</si>
  <si>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</si>
  <si>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</si>
  <si>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</si>
  <si>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</si>
  <si>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</si>
  <si>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</si>
  <si>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</si>
  <si>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</si>
  <si>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</si>
  <si>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</si>
  <si>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</si>
  <si>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</si>
  <si>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</si>
  <si>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</si>
  <si>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</si>
  <si>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</si>
  <si>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</si>
  <si>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</si>
  <si>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</si>
  <si>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</si>
  <si>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</si>
  <si>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</si>
  <si>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</si>
  <si>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</si>
  <si>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</si>
  <si>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</si>
  <si>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</si>
  <si>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</si>
  <si>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</si>
  <si>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</si>
  <si>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</si>
  <si>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</si>
  <si>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</si>
  <si>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</si>
  <si>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</si>
  <si>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</si>
  <si>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</si>
  <si>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</si>
  <si>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</si>
  <si>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</si>
  <si>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</si>
  <si>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</si>
  <si>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</si>
  <si>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</si>
  <si>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</si>
  <si>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</si>
  <si>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</si>
  <si>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</si>
  <si>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</si>
  <si>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</si>
  <si>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</si>
  <si>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</si>
  <si>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</si>
  <si>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</si>
  <si>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</si>
  <si>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</si>
  <si>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</si>
  <si>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</si>
  <si>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</si>
  <si>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</si>
  <si>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</si>
  <si>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</si>
  <si>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</si>
  <si>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</si>
  <si>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</si>
  <si>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</si>
  <si>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</si>
  <si>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</si>
  <si>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</si>
  <si>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</si>
  <si>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</si>
  <si>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</si>
  <si>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</si>
  <si>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</si>
  <si>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</si>
  <si>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</si>
  <si>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</si>
  <si>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</si>
  <si>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</si>
  <si>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</si>
  <si>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</si>
  <si>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</si>
  <si>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</si>
  <si>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</si>
  <si>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</si>
  <si>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</si>
  <si>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</si>
  <si>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</si>
  <si>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</si>
  <si>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</si>
  <si>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</si>
  <si>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</si>
  <si>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</si>
  <si>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</si>
  <si>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</si>
  <si>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</si>
  <si>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</si>
  <si>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</si>
  <si>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</si>
  <si>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</si>
  <si>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</si>
  <si>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</si>
  <si>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</si>
  <si>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</si>
  <si>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</si>
  <si>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</si>
  <si>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</si>
  <si>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</si>
  <si>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</si>
  <si>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</si>
  <si>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</si>
  <si>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</si>
  <si>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</si>
  <si>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</si>
  <si>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</si>
  <si>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</si>
  <si>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</si>
  <si>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</si>
  <si>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</si>
  <si>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</si>
  <si>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</si>
  <si>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</si>
  <si>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</si>
  <si>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</si>
  <si>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</si>
  <si>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</si>
  <si>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</si>
  <si>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</si>
  <si>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</si>
  <si>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</si>
  <si>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</si>
  <si>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</si>
  <si>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</si>
  <si>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</si>
  <si>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</si>
  <si>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</si>
  <si>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</si>
  <si>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</si>
  <si>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</si>
  <si>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</si>
  <si>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</si>
  <si>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</si>
  <si>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</si>
  <si>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</si>
  <si>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</si>
  <si>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</si>
  <si>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</si>
  <si>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</si>
  <si>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</si>
  <si>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</si>
  <si>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</si>
  <si>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</si>
  <si>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</si>
  <si>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</si>
  <si>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</si>
  <si>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</si>
  <si>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</si>
  <si>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</si>
  <si>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</si>
  <si>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</si>
  <si>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</si>
  <si>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</si>
  <si>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</si>
  <si>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</si>
  <si>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</si>
  <si>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</si>
  <si>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</si>
  <si>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</si>
  <si>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</si>
  <si>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</si>
  <si>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</si>
  <si>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</si>
  <si>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</si>
  <si>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</si>
  <si>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</si>
  <si>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</si>
  <si>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</si>
  <si>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</si>
  <si>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</si>
  <si>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</si>
  <si>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</si>
  <si>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</si>
  <si>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</si>
  <si>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</si>
  <si>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</si>
  <si>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</si>
  <si>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</si>
  <si>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</si>
  <si>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</si>
  <si>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</si>
  <si>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</si>
  <si>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</si>
  <si>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</si>
  <si>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</si>
  <si>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</si>
  <si>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</si>
  <si>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</si>
  <si>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</si>
  <si>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</si>
  <si>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</si>
  <si>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</si>
  <si>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</si>
  <si>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</si>
  <si>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</si>
  <si>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</si>
  <si>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</si>
  <si>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</si>
  <si>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</si>
  <si>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</si>
  <si>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</si>
  <si>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</si>
  <si>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</si>
  <si>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</si>
  <si>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</si>
  <si>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</si>
  <si>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</si>
  <si>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</si>
  <si>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</si>
  <si>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</si>
  <si>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</si>
  <si>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</si>
  <si>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</si>
  <si>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</si>
  <si>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</si>
  <si>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</si>
  <si>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</si>
  <si>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</si>
  <si>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</si>
  <si>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</si>
  <si>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</si>
  <si>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</si>
  <si>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</si>
  <si>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</si>
  <si>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</si>
  <si>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</si>
  <si>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</si>
  <si>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</si>
  <si>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</si>
  <si>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</si>
  <si>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</si>
  <si>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</si>
  <si>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</si>
  <si>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</si>
  <si>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</si>
  <si>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</si>
  <si>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</si>
  <si>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</si>
  <si>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</si>
  <si>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</si>
  <si>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</si>
  <si>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</si>
  <si>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</si>
  <si>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</si>
  <si>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</si>
  <si>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</si>
  <si>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</si>
  <si>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</si>
  <si>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</si>
  <si>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</si>
  <si>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</si>
  <si>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</si>
  <si>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</si>
  <si>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</si>
  <si>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</si>
  <si>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</si>
  <si>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</si>
  <si>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</si>
  <si>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</si>
  <si>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</si>
  <si>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</si>
  <si>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</si>
  <si>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</si>
  <si>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</si>
  <si>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</si>
  <si>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</si>
  <si>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</si>
  <si>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</si>
  <si>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</si>
  <si>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</si>
  <si>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</si>
  <si>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</si>
  <si>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</si>
  <si>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</si>
  <si>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</si>
  <si>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</si>
  <si>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</si>
  <si>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</si>
  <si>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</si>
  <si>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</si>
  <si>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</si>
  <si>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</si>
  <si>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</si>
  <si>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</si>
  <si>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</si>
  <si>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</si>
  <si>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</si>
  <si>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</si>
  <si>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</si>
  <si>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</si>
  <si>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</si>
  <si>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</si>
  <si>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</si>
  <si>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</si>
  <si>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</si>
  <si>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</si>
  <si>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</si>
  <si>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</si>
  <si>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</si>
  <si>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</si>
  <si>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</si>
  <si>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</si>
  <si>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</si>
  <si>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</si>
  <si>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</si>
  <si>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</si>
  <si>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</si>
  <si>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</si>
  <si>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</si>
  <si>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</si>
  <si>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</si>
  <si>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</si>
  <si>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</si>
  <si>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</si>
  <si>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</si>
  <si>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</si>
  <si>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</si>
  <si>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</si>
  <si>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</si>
  <si>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</si>
  <si>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</si>
  <si>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</si>
  <si>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</si>
  <si>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</si>
  <si>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</si>
  <si>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</si>
  <si>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</si>
  <si>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</si>
  <si>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</si>
  <si>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</si>
  <si>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</si>
  <si>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</si>
  <si>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</si>
  <si>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</si>
  <si>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</si>
  <si>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</si>
  <si>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</si>
  <si>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</si>
  <si>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</si>
  <si>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</si>
  <si>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</si>
  <si>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</si>
  <si>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</si>
  <si>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</si>
  <si>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</si>
  <si>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</si>
  <si>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</si>
  <si>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</si>
  <si>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</si>
  <si>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</si>
  <si>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</si>
  <si>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</si>
  <si>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</si>
  <si>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</si>
  <si>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</si>
  <si>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</si>
  <si>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</si>
  <si>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</si>
  <si>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</si>
  <si>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</si>
  <si>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</si>
  <si>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</si>
  <si>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</si>
  <si>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</si>
  <si>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</si>
  <si>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</si>
  <si>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</si>
  <si>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</si>
  <si>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</si>
  <si>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</si>
  <si>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</si>
  <si>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</si>
  <si>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</si>
  <si>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</si>
  <si>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</si>
  <si>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</si>
  <si>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</si>
  <si>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</si>
  <si>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</si>
  <si>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</si>
  <si>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</si>
  <si>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</si>
  <si>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</si>
  <si>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</si>
  <si>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</si>
  <si>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</si>
  <si>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</si>
  <si>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</si>
  <si>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</si>
  <si>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</si>
  <si>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</si>
  <si>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</si>
  <si>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</si>
  <si>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</si>
  <si>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</si>
  <si>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</si>
  <si>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</si>
  <si>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</si>
  <si>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</si>
  <si>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</si>
  <si>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</si>
  <si>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</si>
  <si>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</si>
  <si>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</si>
  <si>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</si>
  <si>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</si>
  <si>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</si>
  <si>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</si>
  <si>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</si>
  <si>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</si>
  <si>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</si>
  <si>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</si>
  <si>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</si>
  <si>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</si>
  <si>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</si>
  <si>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</si>
  <si>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</si>
  <si>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</si>
  <si>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</si>
  <si>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</si>
  <si>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</si>
  <si>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</si>
  <si>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</si>
  <si>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</si>
  <si>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</si>
  <si>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</si>
  <si>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</si>
  <si>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</si>
  <si>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</si>
  <si>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</si>
  <si>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</si>
  <si>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</si>
  <si>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</si>
  <si>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</si>
  <si>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</si>
  <si>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</si>
  <si>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</si>
  <si>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</si>
  <si>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</si>
  <si>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</si>
  <si>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</si>
  <si>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</si>
  <si>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</si>
  <si>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</si>
  <si>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</si>
  <si>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</si>
  <si>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</si>
  <si>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</si>
  <si>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</si>
  <si>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</si>
  <si>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</si>
  <si>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</si>
  <si>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</si>
  <si>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</si>
  <si>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</si>
  <si>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</si>
  <si>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</si>
  <si>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</si>
  <si>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</si>
  <si>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</si>
  <si>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</si>
  <si>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</si>
  <si>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</si>
  <si>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</si>
  <si>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</si>
  <si>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</si>
  <si>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</si>
  <si>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</si>
  <si>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</si>
  <si>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</si>
  <si>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</si>
  <si>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</si>
  <si>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</si>
  <si>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</si>
  <si>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</si>
  <si>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</si>
  <si>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</si>
  <si>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</si>
  <si>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</si>
  <si>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</si>
  <si>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</si>
  <si>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</si>
  <si>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</si>
  <si>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</si>
  <si>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</si>
  <si>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</si>
  <si>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</si>
  <si>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</si>
  <si>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</si>
  <si>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</si>
  <si>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</si>
  <si>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</si>
  <si>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</si>
  <si>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</si>
  <si>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</si>
  <si>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</si>
  <si>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</si>
  <si>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</si>
  <si>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</si>
  <si>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</si>
  <si>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</si>
  <si>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</si>
  <si>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</si>
  <si>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</si>
  <si>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</si>
  <si>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</si>
  <si>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</si>
  <si>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</si>
  <si>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</si>
  <si>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</si>
  <si>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</si>
  <si>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</si>
  <si>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</si>
  <si>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</si>
  <si>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</si>
  <si>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</si>
  <si>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</si>
  <si>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</si>
  <si>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</si>
  <si>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</si>
  <si>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</si>
  <si>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</si>
  <si>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</si>
  <si>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</si>
  <si>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</si>
  <si>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</si>
  <si>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</si>
  <si>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</si>
  <si>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</si>
  <si>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</si>
  <si>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</si>
  <si>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</si>
  <si>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</si>
  <si>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</si>
  <si>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</si>
  <si>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</si>
  <si>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</si>
  <si>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</si>
  <si>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</si>
  <si>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</si>
  <si>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</si>
  <si>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</si>
  <si>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</si>
  <si>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</si>
  <si>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</si>
  <si>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</si>
  <si>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</si>
  <si>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</si>
  <si>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</si>
  <si>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</si>
  <si>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</si>
  <si>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</si>
  <si>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</si>
  <si>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</si>
  <si>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</si>
  <si>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</si>
  <si>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</si>
  <si>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</si>
  <si>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</si>
  <si>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</si>
  <si>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</si>
  <si>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</si>
  <si>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</si>
  <si>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</si>
  <si>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</si>
  <si>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</si>
  <si>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</si>
  <si>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</si>
  <si>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</si>
  <si>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</si>
  <si>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</si>
  <si>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</si>
  <si>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</si>
  <si>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</si>
  <si>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</si>
  <si>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</si>
  <si>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</si>
  <si>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</si>
  <si>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</si>
  <si>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</si>
  <si>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</si>
  <si>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</si>
  <si>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</si>
  <si>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</si>
  <si>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</si>
  <si>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</si>
  <si>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</si>
  <si>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</si>
  <si>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</si>
  <si>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</si>
  <si>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</si>
  <si>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</si>
  <si>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</si>
  <si>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</si>
  <si>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</si>
  <si>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</si>
  <si>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</si>
  <si>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</si>
  <si>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</si>
  <si>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</si>
  <si>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</si>
  <si>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</si>
  <si>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</si>
  <si>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</si>
  <si>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</si>
  <si>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</si>
  <si>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</si>
  <si>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</si>
  <si>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</si>
  <si>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</si>
  <si>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</si>
  <si>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</si>
  <si>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</si>
  <si>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</si>
  <si>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</si>
  <si>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</si>
  <si>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</si>
  <si>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</si>
  <si>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</si>
  <si>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</si>
  <si>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</si>
  <si>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</si>
  <si>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</si>
  <si>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</si>
  <si>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</si>
  <si>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</si>
  <si>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</si>
  <si>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</si>
  <si>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</si>
  <si>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</si>
  <si>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</si>
  <si>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</si>
  <si>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</si>
  <si>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</si>
  <si>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</si>
  <si>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</si>
  <si>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</si>
  <si>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</si>
  <si>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</si>
  <si>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</si>
  <si>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</si>
  <si>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</si>
  <si>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</si>
  <si>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</si>
  <si>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</si>
  <si>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</si>
  <si>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</si>
  <si>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</si>
  <si>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</si>
  <si>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</si>
  <si>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</si>
  <si>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</si>
  <si>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</si>
  <si>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</si>
  <si>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</si>
  <si>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</si>
  <si>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</si>
  <si>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</si>
  <si>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</si>
  <si>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</si>
  <si>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</si>
  <si>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</si>
  <si>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</si>
  <si>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</si>
  <si>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</si>
  <si>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</si>
  <si>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</si>
  <si>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</si>
  <si>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</si>
  <si>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</si>
  <si>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</si>
  <si>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</si>
  <si>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</si>
  <si>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</si>
  <si>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</si>
  <si>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</si>
  <si>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</si>
  <si>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</si>
  <si>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</si>
  <si>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</si>
  <si>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</si>
  <si>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</si>
  <si>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</si>
  <si>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</si>
  <si>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</si>
  <si>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</si>
  <si>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</si>
  <si>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</si>
  <si>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</si>
  <si>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</si>
  <si>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</si>
  <si>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</si>
  <si>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</si>
  <si>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</si>
  <si>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</si>
  <si>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</si>
  <si>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</si>
  <si>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</si>
  <si>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</si>
  <si>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</si>
  <si>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</si>
  <si>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</si>
  <si>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</si>
  <si>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</si>
  <si>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</si>
  <si>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</si>
  <si>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</si>
  <si>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</si>
  <si>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</si>
  <si>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</si>
  <si>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</si>
  <si>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</si>
  <si>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</si>
  <si>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</si>
  <si>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</si>
  <si>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</si>
  <si>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</si>
  <si>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</si>
  <si>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</si>
  <si>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</si>
  <si>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</si>
  <si>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</si>
  <si>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</si>
  <si>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</si>
  <si>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</si>
  <si>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</si>
  <si>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</si>
  <si>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</si>
  <si>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</si>
  <si>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</si>
  <si>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</si>
  <si>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</si>
  <si>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</si>
  <si>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</si>
  <si>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</si>
  <si>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</si>
  <si>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</si>
  <si>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</si>
  <si>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</si>
  <si>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</si>
  <si>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</si>
  <si>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</si>
  <si>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</si>
  <si>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</si>
  <si>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</si>
  <si>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</si>
  <si>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</si>
  <si>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</si>
  <si>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</si>
  <si>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</si>
  <si>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</si>
  <si>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</si>
  <si>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</si>
  <si>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15 abr. 2023</t>
  </si>
  <si>
    <t>Tribunales de Justicia</t>
  </si>
  <si>
    <t>NAVARRA</t>
  </si>
  <si>
    <t>Provincias</t>
  </si>
  <si>
    <t>Resumenes por Partidos Judiciales</t>
  </si>
  <si>
    <t>AOIZ-AGOITZ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</si>
</sst>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V6rA2nqZMPVAJf8R6GOX8tjOG/YWPEqTlhTYwmhN0pUqsoJ5l5/4mZgAXt76nAU646B4cPVRzrV/MhOwi5xP4g==" saltValue="yDSRABV99NxbA0EFnmbF5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NAVARRA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15</v>
      </c>
      <c r="D10" s="239">
        <f>IF(ISNUMBER(Datos!I10),Datos!I10," - ")</f>
        <v>15</v>
      </c>
      <c r="E10" s="240">
        <f>IF(ISNUMBER(Datos!J10),Datos!J10," - ")</f>
        <v>32</v>
      </c>
      <c r="F10" s="240">
        <f>IF(ISNUMBER(Datos!K10),Datos!K10," - ")</f>
        <v>28</v>
      </c>
      <c r="G10" s="1390" t="str">
        <f>IF(Datos!E10&lt;&gt;"",Datos!E10,Datos!D10)</f>
        <v>37</v>
      </c>
      <c r="H10" s="241">
        <f>IF(ISNUMBER(Datos!L10),Datos!L10," - ")</f>
        <v>19</v>
      </c>
      <c r="I10" s="1400" t="str">
        <f>IF(ISNUMBER(Datos!AS10/Datos!BM10),Datos!AS10/Datos!BM10," - ")</f>
        <v xml:space="preserve"> - </v>
      </c>
      <c r="J10" s="1401">
        <f>IF(ISNUMBER(Datos!BY10/Datos!CN10),Datos!BY10/Datos!CN10," - ")</f>
        <v>0</v>
      </c>
      <c r="K10" s="244">
        <f t="shared" ref="K10:K13" si="1">IF(ISNUMBER((E10-F10)/C10),(E10-F10)/C10," - ")</f>
        <v>0.26666666666666666</v>
      </c>
      <c r="L10" s="1402">
        <f>IF(ISNUMBER(NºAsuntos!I10/NºAsuntos!G10),(NºAsuntos!I10/NºAsuntos!G10)*11," - ")</f>
        <v>7.4642857142857144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4.7054176072234766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15</v>
      </c>
      <c r="D14" s="1407">
        <f>SUBTOTAL(9,D9:D13)</f>
        <v>15</v>
      </c>
      <c r="E14" s="1408">
        <f>SUBTOTAL(9,E9:E13)</f>
        <v>32</v>
      </c>
      <c r="F14" s="1409">
        <f>SUBTOTAL(9,F9:F13)</f>
        <v>28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419</v>
      </c>
      <c r="D17" s="239">
        <f>IF(ISNUMBER(IF(D_I="SI",Datos!I17,Datos!I17+Datos!AC17)),IF(D_I="SI",Datos!I17,Datos!I17+Datos!AC17)," - ")</f>
        <v>381</v>
      </c>
      <c r="E17" s="240">
        <f>IF(ISNUMBER(IF(D_I="SI",Datos!J17,Datos!J17+Datos!AD17)),IF(D_I="SI",Datos!J17,Datos!J17+Datos!AD17)," - ")</f>
        <v>1665</v>
      </c>
      <c r="F17" s="240">
        <f>IF(ISNUMBER(IF(D_I="SI",Datos!K17,Datos!K17+Datos!AE17)),IF(D_I="SI",Datos!K17,Datos!K17+Datos!AE17)," - ")</f>
        <v>1540</v>
      </c>
      <c r="G17" s="1390" t="str">
        <f>IF(Datos!E17&lt;&gt;"",Datos!E17,Datos!D17)</f>
        <v>04</v>
      </c>
      <c r="H17" s="241">
        <f>IF(ISNUMBER(IF(D_I="SI",Datos!L17,Datos!L17+Datos!AF17)),IF(D_I="SI",Datos!L17,Datos!L17+Datos!AF17)," - ")</f>
        <v>544</v>
      </c>
      <c r="I17" s="1400" t="str">
        <f>IF(ISNUMBER(Datos!AS17/Datos!BM17),Datos!AS17/Datos!BM17," - ")</f>
        <v xml:space="preserve"> - </v>
      </c>
      <c r="J17" s="1401">
        <f>IF(ISNUMBER(Datos!BY17/Datos!CN17),Datos!BY17/Datos!CN17," - ")</f>
        <v>0</v>
      </c>
      <c r="K17" s="244">
        <f t="shared" si="3"/>
        <v>0.29832935560859186</v>
      </c>
      <c r="L17" s="1402">
        <f>IF(ISNUMBER(NºAsuntos!I17/NºAsuntos!G17),(NºAsuntos!I17/NºAsuntos!G17)*11," - ")</f>
        <v>3.8857142857142857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91</v>
      </c>
      <c r="D18" s="239">
        <f>IF(ISNUMBER(IF(D_I="SI",Datos!I18,Datos!I18+Datos!AC18)),IF(D_I="SI",Datos!I18,Datos!I18+Datos!AC18)," - ")</f>
        <v>79</v>
      </c>
      <c r="E18" s="240">
        <f>IF(ISNUMBER(IF(D_I="SI",Datos!J18,Datos!J18+Datos!AD18)),IF(D_I="SI",Datos!J18,Datos!J18+Datos!AD18)," - ")</f>
        <v>195</v>
      </c>
      <c r="F18" s="240">
        <f>IF(ISNUMBER(IF(D_I="SI",Datos!K18,Datos!K18+Datos!AE18)),IF(D_I="SI",Datos!K18,Datos!K18+Datos!AE18)," - ")</f>
        <v>178</v>
      </c>
      <c r="G18" s="1390" t="str">
        <f>IF(Datos!E18&lt;&gt;"",Datos!E18,Datos!D18)</f>
        <v>37</v>
      </c>
      <c r="H18" s="241">
        <f>IF(ISNUMBER(IF(D_I="SI",Datos!L18,Datos!L18+Datos!AF18)),IF(D_I="SI",Datos!L18,Datos!L18+Datos!AF18)," - ")</f>
        <v>108</v>
      </c>
      <c r="I18" s="1400" t="str">
        <f>IF(ISNUMBER(Datos!AS18/Datos!BM18),Datos!AS18/Datos!BM18," - ")</f>
        <v xml:space="preserve"> - </v>
      </c>
      <c r="J18" s="1401" t="str">
        <f>IF(ISNUMBER((Datos!BY18+Datos!BZ18)/Datos!CN18),(Datos!BY18+Datos!BZ18)/Datos!CN18," - ")</f>
        <v xml:space="preserve"> - </v>
      </c>
      <c r="K18" s="244">
        <f t="shared" si="3"/>
        <v>0.18681318681318682</v>
      </c>
      <c r="L18" s="1402">
        <f>IF(ISNUMBER(NºAsuntos!I18/NºAsuntos!G18),(NºAsuntos!I18/NºAsuntos!G18)*11," - ")</f>
        <v>6.6741573033707873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510</v>
      </c>
      <c r="D23" s="1407">
        <f>SUBTOTAL(9,D16:D22)</f>
        <v>460</v>
      </c>
      <c r="E23" s="1408">
        <f>SUBTOTAL(9,E16:E22)</f>
        <v>1860</v>
      </c>
      <c r="F23" s="1408">
        <f>SUBTOTAL(9,F16:F22)</f>
        <v>1718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525</v>
      </c>
      <c r="D31" s="1435">
        <f>SUBTOTAL(9,D9:D30)</f>
        <v>475</v>
      </c>
      <c r="E31" s="1436">
        <f>SUBTOTAL(9,E9:E30)</f>
        <v>1892</v>
      </c>
      <c r="F31" s="1436">
        <f>SUBTOTAL(9,F9:F30)</f>
        <v>1746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15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N6EkywCyG/ZpoOmprsZGjT3HRIFEZRIH5iNhypqqYW3vnNQ5pAw8o0lnhsneJD0djWPHQrWowVWFzzMXQ2Stxg==" saltValue="Y3Vc95IDJZOBVfDokBUZXQ=="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FyInVBLpwWxRnB8BbcCzMwo71o2tWFdwMYrTIfKadG747tQLOIOVoBXu3xUC5zgqMPJh9vKgWFl/JzaE51m3FQ==" saltValue="0hwwdVsj2fGc57diGe75P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15</v>
      </c>
      <c r="J10" s="194">
        <v>32</v>
      </c>
      <c r="K10" s="194">
        <v>28</v>
      </c>
      <c r="L10" s="194">
        <v>19</v>
      </c>
      <c r="M10" s="194">
        <v>10</v>
      </c>
      <c r="N10" s="194">
        <v>8</v>
      </c>
      <c r="O10" s="194">
        <v>9</v>
      </c>
      <c r="P10" s="194">
        <v>8</v>
      </c>
      <c r="Q10" s="194">
        <v>3</v>
      </c>
      <c r="R10" s="194">
        <v>27</v>
      </c>
      <c r="S10" s="194">
        <v>11</v>
      </c>
      <c r="T10" s="194">
        <v>33</v>
      </c>
      <c r="U10" s="194">
        <v>29</v>
      </c>
      <c r="V10" s="194">
        <v>15</v>
      </c>
      <c r="W10" s="194">
        <v>10</v>
      </c>
      <c r="X10" s="201">
        <v>12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11</v>
      </c>
      <c r="AZ10" s="139">
        <f t="shared" si="0"/>
        <v>33</v>
      </c>
      <c r="BA10" s="139">
        <f t="shared" si="0"/>
        <v>29</v>
      </c>
      <c r="BB10" s="139">
        <f t="shared" si="0"/>
        <v>15</v>
      </c>
      <c r="BC10" s="135">
        <f t="shared" si="0"/>
        <v>10</v>
      </c>
      <c r="BD10" s="136">
        <f>IF(ISNUMBER(BA10/AZ10),BA10/AZ10," - ")</f>
        <v>0.87878787878787878</v>
      </c>
      <c r="BE10" s="137">
        <f>IF(ISNUMBER(BB10/BA10),BB10/BA10, " - ")</f>
        <v>0.51724137931034486</v>
      </c>
      <c r="BF10" s="137">
        <f>IF(ISNUMBER(BC10/BA10),BC10/BA10, " - ")</f>
        <v>0.34482758620689657</v>
      </c>
      <c r="BG10" s="209">
        <f>IF(ISNUMBER((AY10+AZ10)/BA10),(AY10+AZ10)/BA10," - ")</f>
        <v>1.5172413793103448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538</v>
      </c>
      <c r="J12" s="196">
        <v>1833</v>
      </c>
      <c r="K12" s="196">
        <v>1624</v>
      </c>
      <c r="L12" s="196">
        <v>729</v>
      </c>
      <c r="M12" s="196">
        <v>425</v>
      </c>
      <c r="N12" s="196">
        <v>687</v>
      </c>
      <c r="O12" s="194">
        <v>910</v>
      </c>
      <c r="P12" s="196">
        <v>336</v>
      </c>
      <c r="Q12" s="196">
        <v>378</v>
      </c>
      <c r="R12" s="196">
        <v>1360</v>
      </c>
      <c r="S12" s="196">
        <v>526</v>
      </c>
      <c r="T12" s="196">
        <v>1703</v>
      </c>
      <c r="U12" s="196">
        <v>1691</v>
      </c>
      <c r="V12" s="196">
        <v>538</v>
      </c>
      <c r="W12" s="196">
        <v>547</v>
      </c>
      <c r="X12" s="202">
        <v>732</v>
      </c>
      <c r="Y12" s="204">
        <v>42</v>
      </c>
      <c r="Z12" s="194">
        <v>137</v>
      </c>
      <c r="AA12" s="194">
        <v>148</v>
      </c>
      <c r="AB12" s="194">
        <v>29</v>
      </c>
      <c r="AC12" s="196">
        <v>0</v>
      </c>
      <c r="AD12" s="196">
        <v>0</v>
      </c>
      <c r="AE12" s="196">
        <v>0</v>
      </c>
      <c r="AF12" s="202">
        <v>0</v>
      </c>
      <c r="AG12" s="215">
        <v>8</v>
      </c>
      <c r="AH12" s="196">
        <v>233</v>
      </c>
      <c r="AI12" s="196">
        <v>199</v>
      </c>
      <c r="AJ12" s="216">
        <v>42</v>
      </c>
      <c r="AK12" s="195">
        <v>0</v>
      </c>
      <c r="AL12" s="196">
        <v>0</v>
      </c>
      <c r="AM12" s="196">
        <v>0</v>
      </c>
      <c r="AN12" s="202">
        <v>0</v>
      </c>
      <c r="AO12" s="283">
        <v>2</v>
      </c>
      <c r="AP12" s="168">
        <v>2</v>
      </c>
      <c r="AQ12" s="168">
        <v>2</v>
      </c>
      <c r="AR12" s="167">
        <v>2</v>
      </c>
      <c r="AS12" s="381" t="s">
        <v>1075</v>
      </c>
      <c r="AT12" s="216"/>
      <c r="AU12" s="215"/>
      <c r="AV12" s="216"/>
      <c r="AW12" s="215"/>
      <c r="AX12" s="216"/>
      <c r="AY12" s="136">
        <f t="shared" si="1"/>
        <v>534</v>
      </c>
      <c r="AZ12" s="137">
        <f t="shared" si="1"/>
        <v>1936</v>
      </c>
      <c r="BA12" s="137">
        <f t="shared" si="1"/>
        <v>1890</v>
      </c>
      <c r="BB12" s="137">
        <f t="shared" si="1"/>
        <v>580</v>
      </c>
      <c r="BC12" s="135">
        <f>IF(ISNUMBER(X12),X12," - ")</f>
        <v>732</v>
      </c>
      <c r="BD12" s="136">
        <f t="shared" si="2"/>
        <v>0.97623966942148765</v>
      </c>
      <c r="BE12" s="137">
        <f t="shared" si="3"/>
        <v>0.30687830687830686</v>
      </c>
      <c r="BF12" s="137">
        <f t="shared" si="4"/>
        <v>0.38730158730158731</v>
      </c>
      <c r="BG12" s="209">
        <f t="shared" si="5"/>
        <v>1.306878306878307</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553</v>
      </c>
      <c r="J14" s="197">
        <f t="shared" si="7"/>
        <v>1865</v>
      </c>
      <c r="K14" s="197">
        <f t="shared" si="7"/>
        <v>1652</v>
      </c>
      <c r="L14" s="197">
        <f t="shared" si="7"/>
        <v>748</v>
      </c>
      <c r="M14" s="197">
        <f t="shared" si="7"/>
        <v>435</v>
      </c>
      <c r="N14" s="197">
        <f t="shared" si="7"/>
        <v>695</v>
      </c>
      <c r="O14" s="197">
        <f t="shared" si="7"/>
        <v>919</v>
      </c>
      <c r="P14" s="197">
        <f t="shared" si="7"/>
        <v>344</v>
      </c>
      <c r="Q14" s="197">
        <f t="shared" si="7"/>
        <v>381</v>
      </c>
      <c r="R14" s="197">
        <f t="shared" si="7"/>
        <v>1387</v>
      </c>
      <c r="S14" s="197">
        <f t="shared" si="7"/>
        <v>537</v>
      </c>
      <c r="T14" s="197">
        <f t="shared" si="7"/>
        <v>1736</v>
      </c>
      <c r="U14" s="197">
        <f t="shared" si="7"/>
        <v>1720</v>
      </c>
      <c r="V14" s="197">
        <f t="shared" si="7"/>
        <v>553</v>
      </c>
      <c r="W14" s="197">
        <f t="shared" si="7"/>
        <v>557</v>
      </c>
      <c r="X14" s="197">
        <f t="shared" si="7"/>
        <v>744</v>
      </c>
      <c r="Y14" s="197">
        <f t="shared" si="7"/>
        <v>42</v>
      </c>
      <c r="Z14" s="197">
        <f t="shared" si="7"/>
        <v>137</v>
      </c>
      <c r="AA14" s="197">
        <f t="shared" si="7"/>
        <v>148</v>
      </c>
      <c r="AB14" s="197">
        <f t="shared" si="7"/>
        <v>29</v>
      </c>
      <c r="AC14" s="197">
        <f t="shared" si="7"/>
        <v>0</v>
      </c>
      <c r="AD14" s="197">
        <f t="shared" si="7"/>
        <v>0</v>
      </c>
      <c r="AE14" s="197">
        <f t="shared" si="7"/>
        <v>0</v>
      </c>
      <c r="AF14" s="197">
        <f>SUBTOTAL(9,AF9:AF13)</f>
        <v>0</v>
      </c>
      <c r="AG14" s="197">
        <f t="shared" ref="AG14:AT14" si="8">SUBTOTAL(9,AG8:AG13)</f>
        <v>8</v>
      </c>
      <c r="AH14" s="197">
        <f t="shared" si="8"/>
        <v>233</v>
      </c>
      <c r="AI14" s="197">
        <f t="shared" si="8"/>
        <v>199</v>
      </c>
      <c r="AJ14" s="197">
        <f t="shared" si="8"/>
        <v>42</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545</v>
      </c>
      <c r="AZ14" s="197">
        <f>SUBTOTAL(9,AZ8:AZ13)</f>
        <v>1969</v>
      </c>
      <c r="BA14" s="197">
        <f>SUBTOTAL(9,BA8:BA13)</f>
        <v>1919</v>
      </c>
      <c r="BB14" s="197">
        <f>SUBTOTAL(9,BB8:BB13)</f>
        <v>595</v>
      </c>
      <c r="BC14" s="197">
        <f>SUBTOTAL(9,BC8:BC13)</f>
        <v>742</v>
      </c>
      <c r="BD14" s="219">
        <f>IF(ISNUMBER(BA14/AZ14),BA14/AZ14," - ")</f>
        <v>0.97460639918740477</v>
      </c>
      <c r="BE14" s="220">
        <f>IF(ISNUMBER(BB14/BA14),BB14/BA14, " - ")</f>
        <v>0.31005732152162585</v>
      </c>
      <c r="BF14" s="220">
        <f>IF(ISNUMBER(BC14/BA14),BC14/BA14, " - ")</f>
        <v>0.38665971860343928</v>
      </c>
      <c r="BG14" s="221">
        <f>IF(ISNUMBER((AY14+AZ14)/BA14),(AY14+AZ14)/BA14," - ")</f>
        <v>1.3100573215216258</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381</v>
      </c>
      <c r="J17" s="196">
        <v>1665</v>
      </c>
      <c r="K17" s="196">
        <v>1540</v>
      </c>
      <c r="L17" s="196">
        <v>544</v>
      </c>
      <c r="M17" s="196">
        <v>258</v>
      </c>
      <c r="N17" s="196">
        <v>879</v>
      </c>
      <c r="O17" s="194">
        <v>0</v>
      </c>
      <c r="P17" s="196">
        <v>53</v>
      </c>
      <c r="Q17" s="196">
        <v>52</v>
      </c>
      <c r="R17" s="196">
        <v>81</v>
      </c>
      <c r="S17" s="196">
        <v>408</v>
      </c>
      <c r="T17" s="196">
        <v>1120</v>
      </c>
      <c r="U17" s="196">
        <v>1192</v>
      </c>
      <c r="V17" s="196">
        <v>381</v>
      </c>
      <c r="W17" s="196">
        <v>202</v>
      </c>
      <c r="X17" s="202">
        <v>722</v>
      </c>
      <c r="Y17" s="215">
        <v>0</v>
      </c>
      <c r="Z17" s="196">
        <v>0</v>
      </c>
      <c r="AA17" s="196">
        <v>0</v>
      </c>
      <c r="AB17" s="196">
        <v>0</v>
      </c>
      <c r="AC17" s="196">
        <v>0</v>
      </c>
      <c r="AD17" s="196">
        <v>0</v>
      </c>
      <c r="AE17" s="196">
        <v>0</v>
      </c>
      <c r="AF17" s="202">
        <v>0</v>
      </c>
      <c r="AG17" s="215">
        <v>0</v>
      </c>
      <c r="AH17" s="196">
        <v>0</v>
      </c>
      <c r="AI17" s="196">
        <v>0</v>
      </c>
      <c r="AJ17" s="216">
        <v>0</v>
      </c>
      <c r="AK17" s="195">
        <v>0</v>
      </c>
      <c r="AL17" s="196">
        <v>10</v>
      </c>
      <c r="AM17" s="196">
        <v>10</v>
      </c>
      <c r="AN17" s="202">
        <v>0</v>
      </c>
      <c r="AO17" s="283">
        <v>2</v>
      </c>
      <c r="AP17" s="168">
        <v>2</v>
      </c>
      <c r="AQ17" s="168">
        <v>2</v>
      </c>
      <c r="AR17" s="168">
        <v>2</v>
      </c>
      <c r="AS17" s="381" t="s">
        <v>650</v>
      </c>
      <c r="AT17" s="216"/>
      <c r="AU17" s="215"/>
      <c r="AV17" s="216"/>
      <c r="AW17" s="215"/>
      <c r="AX17" s="216"/>
      <c r="AY17" s="136">
        <f t="shared" si="10"/>
        <v>408</v>
      </c>
      <c r="AZ17" s="137">
        <f t="shared" si="10"/>
        <v>1120</v>
      </c>
      <c r="BA17" s="137">
        <f t="shared" si="10"/>
        <v>1192</v>
      </c>
      <c r="BB17" s="137">
        <f t="shared" si="10"/>
        <v>381</v>
      </c>
      <c r="BC17" s="135">
        <f>IF(ISNUMBER(W17),W17," - ")</f>
        <v>202</v>
      </c>
      <c r="BD17" s="136">
        <f t="shared" ref="BD17:BD22" si="12">IF(ISNUMBER(BA17/AZ17),BA17/AZ17," - ")</f>
        <v>1.0642857142857143</v>
      </c>
      <c r="BE17" s="137">
        <f t="shared" ref="BE17:BE22" si="13">IF(ISNUMBER(BB17/BA17),BB17/BA17, " - ")</f>
        <v>0.31963087248322147</v>
      </c>
      <c r="BF17" s="137">
        <f t="shared" ref="BF17:BF22" si="14">IF(ISNUMBER(BC17/BA17),BC17/BA17, " - ")</f>
        <v>0.16946308724832215</v>
      </c>
      <c r="BG17" s="209">
        <f t="shared" si="11"/>
        <v>1.2818791946308725</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79</v>
      </c>
      <c r="J18" s="196">
        <v>195</v>
      </c>
      <c r="K18" s="196">
        <v>178</v>
      </c>
      <c r="L18" s="196">
        <v>108</v>
      </c>
      <c r="M18" s="196">
        <v>11</v>
      </c>
      <c r="N18" s="196">
        <v>90</v>
      </c>
      <c r="O18" s="196">
        <v>0</v>
      </c>
      <c r="P18" s="196">
        <v>2</v>
      </c>
      <c r="Q18" s="196">
        <v>0</v>
      </c>
      <c r="R18" s="196">
        <v>2</v>
      </c>
      <c r="S18" s="196">
        <v>144</v>
      </c>
      <c r="T18" s="196">
        <v>156</v>
      </c>
      <c r="U18" s="196">
        <v>231</v>
      </c>
      <c r="V18" s="196">
        <v>79</v>
      </c>
      <c r="W18" s="196">
        <v>11</v>
      </c>
      <c r="X18" s="202">
        <v>168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144</v>
      </c>
      <c r="AZ18" s="139">
        <f t="shared" si="15"/>
        <v>156</v>
      </c>
      <c r="BA18" s="139">
        <f t="shared" si="15"/>
        <v>231</v>
      </c>
      <c r="BB18" s="139">
        <f t="shared" si="15"/>
        <v>79</v>
      </c>
      <c r="BC18" s="135">
        <f>IF(ISNUMBER(W18),W18," - ")</f>
        <v>11</v>
      </c>
      <c r="BD18" s="136">
        <f>IF(ISNUMBER(BA18/AZ18),BA18/AZ18," - ")</f>
        <v>1.4807692307692308</v>
      </c>
      <c r="BE18" s="137">
        <f>IF(ISNUMBER(BB18/BA18),BB18/BA18, " - ")</f>
        <v>0.34199134199134201</v>
      </c>
      <c r="BF18" s="137">
        <f>IF(ISNUMBER(BC18/BA18),BC18/BA18, " - ")</f>
        <v>4.7619047619047616E-2</v>
      </c>
      <c r="BG18" s="209">
        <f>IF(ISNUMBER((AY18+AZ18)/BA18),(AY18+AZ18)/BA18," - ")</f>
        <v>1.2987012987012987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460</v>
      </c>
      <c r="J23" s="197">
        <f t="shared" si="21"/>
        <v>1860</v>
      </c>
      <c r="K23" s="197">
        <f t="shared" si="21"/>
        <v>1718</v>
      </c>
      <c r="L23" s="197">
        <f t="shared" si="21"/>
        <v>652</v>
      </c>
      <c r="M23" s="197">
        <f t="shared" si="21"/>
        <v>269</v>
      </c>
      <c r="N23" s="197">
        <f t="shared" si="21"/>
        <v>969</v>
      </c>
      <c r="O23" s="197">
        <f t="shared" si="21"/>
        <v>0</v>
      </c>
      <c r="P23" s="197">
        <f t="shared" si="21"/>
        <v>55</v>
      </c>
      <c r="Q23" s="197">
        <f t="shared" si="21"/>
        <v>52</v>
      </c>
      <c r="R23" s="197">
        <f t="shared" si="21"/>
        <v>83</v>
      </c>
      <c r="S23" s="197">
        <f t="shared" si="21"/>
        <v>552</v>
      </c>
      <c r="T23" s="197">
        <f t="shared" si="21"/>
        <v>1276</v>
      </c>
      <c r="U23" s="197">
        <f t="shared" si="21"/>
        <v>1423</v>
      </c>
      <c r="V23" s="197">
        <f t="shared" si="21"/>
        <v>460</v>
      </c>
      <c r="W23" s="197">
        <f t="shared" si="21"/>
        <v>213</v>
      </c>
      <c r="X23" s="197">
        <f t="shared" si="21"/>
        <v>890</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10</v>
      </c>
      <c r="AM23" s="197">
        <f t="shared" si="21"/>
        <v>10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552</v>
      </c>
      <c r="AZ23" s="197">
        <f>SUBTOTAL(9,AZ15:AZ22)</f>
        <v>1276</v>
      </c>
      <c r="BA23" s="197">
        <f>SUBTOTAL(9,BA15:BA22)</f>
        <v>1423</v>
      </c>
      <c r="BB23" s="197">
        <f>SUBTOTAL(9,BB15:BB22)</f>
        <v>460</v>
      </c>
      <c r="BC23" s="197">
        <f>SUBTOTAL(9,BC15:BC22)</f>
        <v>213</v>
      </c>
      <c r="BD23" s="219">
        <f>IF(ISNUMBER(BA23/AZ23),BA23/AZ23," - ")</f>
        <v>1.115203761755486</v>
      </c>
      <c r="BE23" s="220">
        <f>IF(ISNUMBER(BB23/BA23),BB23/BA23, " - ")</f>
        <v>0.32326071679550245</v>
      </c>
      <c r="BF23" s="220">
        <f>IF(ISNUMBER(BC23/BA23),BC23/BA23, " - ")</f>
        <v>0.14968376669009137</v>
      </c>
      <c r="BG23" s="221">
        <f>IF(ISNUMBER((AY23+AZ23)/BA23),(AY23+AZ23)/BA23," - ")</f>
        <v>1.2846099789177794</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1013</v>
      </c>
      <c r="J31" s="144">
        <f t="shared" si="36"/>
        <v>3725</v>
      </c>
      <c r="K31" s="144">
        <f t="shared" si="36"/>
        <v>3370</v>
      </c>
      <c r="L31" s="144">
        <f t="shared" si="36"/>
        <v>1400</v>
      </c>
      <c r="M31" s="144">
        <f t="shared" si="36"/>
        <v>704</v>
      </c>
      <c r="N31" s="144">
        <f t="shared" si="36"/>
        <v>1664</v>
      </c>
      <c r="O31" s="144">
        <f t="shared" si="36"/>
        <v>919</v>
      </c>
      <c r="P31" s="144">
        <f t="shared" si="36"/>
        <v>399</v>
      </c>
      <c r="Q31" s="144">
        <f t="shared" si="36"/>
        <v>433</v>
      </c>
      <c r="R31" s="144">
        <f t="shared" si="36"/>
        <v>1470</v>
      </c>
      <c r="S31" s="144">
        <f t="shared" si="36"/>
        <v>1089</v>
      </c>
      <c r="T31" s="144">
        <f t="shared" si="36"/>
        <v>3012</v>
      </c>
      <c r="U31" s="144">
        <f t="shared" si="36"/>
        <v>3143</v>
      </c>
      <c r="V31" s="144">
        <f t="shared" si="36"/>
        <v>1013</v>
      </c>
      <c r="W31" s="144">
        <f t="shared" si="36"/>
        <v>770</v>
      </c>
      <c r="X31" s="144">
        <f t="shared" si="36"/>
        <v>1634</v>
      </c>
      <c r="Y31" s="144">
        <f t="shared" si="36"/>
        <v>42</v>
      </c>
      <c r="Z31" s="144">
        <f t="shared" si="36"/>
        <v>137</v>
      </c>
      <c r="AA31" s="144">
        <f t="shared" si="36"/>
        <v>148</v>
      </c>
      <c r="AB31" s="144">
        <f t="shared" si="36"/>
        <v>29</v>
      </c>
      <c r="AC31" s="144">
        <f t="shared" si="36"/>
        <v>0</v>
      </c>
      <c r="AD31" s="144">
        <f t="shared" si="36"/>
        <v>0</v>
      </c>
      <c r="AE31" s="144">
        <f t="shared" si="36"/>
        <v>0</v>
      </c>
      <c r="AF31" s="144">
        <f t="shared" si="36"/>
        <v>0</v>
      </c>
      <c r="AG31" s="144">
        <f t="shared" si="36"/>
        <v>8</v>
      </c>
      <c r="AH31" s="144">
        <f t="shared" si="36"/>
        <v>233</v>
      </c>
      <c r="AI31" s="144">
        <f t="shared" si="36"/>
        <v>199</v>
      </c>
      <c r="AJ31" s="144">
        <f t="shared" si="36"/>
        <v>42</v>
      </c>
      <c r="AK31" s="144">
        <f t="shared" si="36"/>
        <v>0</v>
      </c>
      <c r="AL31" s="144">
        <f t="shared" si="36"/>
        <v>10</v>
      </c>
      <c r="AM31" s="144">
        <f t="shared" si="36"/>
        <v>10</v>
      </c>
      <c r="AN31" s="224">
        <f t="shared" si="36"/>
        <v>0</v>
      </c>
      <c r="AO31" s="225">
        <v>3</v>
      </c>
      <c r="AP31" s="225">
        <v>2</v>
      </c>
      <c r="AQ31" s="225">
        <v>2</v>
      </c>
      <c r="AR31" s="225">
        <v>2</v>
      </c>
      <c r="AS31" s="166">
        <f t="shared" si="36"/>
        <v>0</v>
      </c>
      <c r="AT31" s="166">
        <f t="shared" si="36"/>
        <v>0</v>
      </c>
      <c r="AU31" s="225"/>
      <c r="AV31" s="226"/>
      <c r="AW31" s="225"/>
      <c r="AX31" s="226"/>
      <c r="AY31" s="143">
        <f>SUBTOTAL(9,AY9:AY30)</f>
        <v>1097</v>
      </c>
      <c r="AZ31" s="144">
        <f>SUBTOTAL(9,AZ9:AZ30)</f>
        <v>3245</v>
      </c>
      <c r="BA31" s="144">
        <f>SUBTOTAL(9,BA9:BA30)</f>
        <v>3342</v>
      </c>
      <c r="BB31" s="144">
        <f>SUBTOTAL(9,BB9:BB30)</f>
        <v>1055</v>
      </c>
      <c r="BC31" s="145">
        <f>SUBTOTAL(9,BC9:BC30)</f>
        <v>955</v>
      </c>
      <c r="BD31" s="227">
        <f>IF(ISNUMBER(BA31/AZ31),BA31/AZ31," - ")</f>
        <v>1.0298921417565485</v>
      </c>
      <c r="BE31" s="224">
        <f>IF(ISNUMBER(BB31/BA31),BB31/BA31, " - ")</f>
        <v>0.31567923399162179</v>
      </c>
      <c r="BF31" s="224">
        <f>IF(ISNUMBER(BC31/BA31),BC31/BA31, " - ")</f>
        <v>0.28575703171753442</v>
      </c>
      <c r="BG31" s="145">
        <f>IF(ISNUMBER((AY31+AZ31)/BA31),(AY31+AZ31)/BA31," - ")</f>
        <v>1.2992220227408737</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KH3sncPAUcH4yIlKRc5huQwNmC00sRO9nnIMJDEygns4b+dgCGjFX3+PsnEb+jWZH/rfc0E+h+9K3QKd+ZUyw==" saltValue="9xO53HBtfbKlrWaYjdP4l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LKdscuqzwOzc/aRDThJMMJLgUUm/BXAHe1NM70HSGO+gu4w396roG19ksVkv9yGqMItWUld8mJPrvnSA82ETg==" saltValue="/oMBAQch6ni/Y9iJi4uLu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NAVARRA</v>
      </c>
      <c r="F1" s="578"/>
    </row>
    <row r="2" spans="1:74" ht="16.5" customHeight="1">
      <c r="C2" s="567" t="str">
        <f>Criterios!A10 &amp;"  "&amp;Criterios!B10 &amp; "  " &amp; IF(NOT(ISBLANK(Criterios!A11)),Criterios!A11 &amp;"  "&amp;Criterios!B11,"")</f>
        <v>Provincias  NAVARRA  Resumenes por Partidos Judiciales  AOIZ-AGOITZ</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15</v>
      </c>
      <c r="G10" s="543">
        <f>IF(ISNUMBER(Datos!I10),Datos!I10," - ")</f>
        <v>15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8</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28</v>
      </c>
      <c r="AC10" s="547">
        <f>IF(ISNUMBER(Datos!Q10),Datos!Q10," - ")</f>
        <v>3</v>
      </c>
      <c r="AD10" s="549"/>
      <c r="AE10" s="563"/>
      <c r="AF10" s="551">
        <f>IF(ISNUMBER(Datos!L10),Datos!L10,"-")</f>
        <v>19</v>
      </c>
      <c r="AG10" s="549"/>
      <c r="AH10" s="549"/>
      <c r="AI10" s="549"/>
      <c r="AJ10" s="549"/>
      <c r="AK10" s="549"/>
      <c r="AL10" s="550"/>
      <c r="AM10" s="766">
        <f>IF(ISNUMBER(Datos!R10),Datos!R10," - ")</f>
        <v>27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10</v>
      </c>
      <c r="BD10" s="693">
        <f>IF(ISNUMBER(Datos!N10),Datos!N10," - ")</f>
        <v>8</v>
      </c>
      <c r="BE10" s="693" t="str">
        <f>IF(ISNUMBER(Datos!BW10),Datos!BW10," - ")</f>
        <v xml:space="preserve"> - </v>
      </c>
      <c r="BF10" s="762" t="str">
        <f>IF(ISNUMBER(Datos!BX10),Datos!BX10," - ")</f>
        <v xml:space="preserve"> - </v>
      </c>
      <c r="BG10" s="763">
        <f>IF(ISNUMBER(Datos!K10/Datos!J10),Datos!K10/Datos!J10," - ")</f>
        <v>0.875</v>
      </c>
      <c r="BH10" s="764">
        <f>IF(ISNUMBER(((Datos!L10/Datos!K10)*11)/factor_trimestre),((Datos!L10/Datos!K10)*11)/factor_trimestre," - ")</f>
        <v>7.4642857142857144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0.22727272727272727</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137</v>
      </c>
      <c r="O12" s="549"/>
      <c r="P12" s="549"/>
      <c r="Q12" s="547">
        <f>IF(ISNUMBER(Datos!P12),Datos!P12,0)</f>
        <v>336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378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29</v>
      </c>
      <c r="AI12" s="549" t="str">
        <f>IF(ISNUMBER(Datos!CD12),Datos!CD12,"-")</f>
        <v>-</v>
      </c>
      <c r="AJ12" s="549" t="str">
        <f>IF(ISNUMBER(Datos!EN12),Datos!EN12," - ")</f>
        <v xml:space="preserve"> - </v>
      </c>
      <c r="AK12" s="549"/>
      <c r="AL12" s="550"/>
      <c r="AM12" s="766">
        <f>IF(ISNUMBER(Datos!R12),Datos!R12," - ")</f>
        <v>1360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425</v>
      </c>
      <c r="BD12" s="693">
        <f>IF(ISNUMBER(Datos!N12),Datos!N12," - ")</f>
        <v>687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0.89949238578680202</v>
      </c>
      <c r="BH12" s="764">
        <f>IF(ISNUMBER(((IF(J_V="SI",Datos!L12/Datos!K12,(Datos!L12+Datos!AB12)/(Datos!K12+Datos!AA12)))*11)/factor_trimestre),((IF(J_V="SI",Datos!L12/Datos!K12,(Datos!L12+Datos!AB12)/(Datos!K12+Datos!AA12)))*11)/factor_trimestre," - ")</f>
        <v>4.7054176072234766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-2.9957203994293864E-2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2</v>
      </c>
      <c r="F14" s="1197">
        <f t="shared" si="1"/>
        <v>15</v>
      </c>
      <c r="G14" s="1197">
        <f t="shared" si="1"/>
        <v>15</v>
      </c>
      <c r="H14" s="1198">
        <f t="shared" si="1"/>
        <v>0</v>
      </c>
      <c r="I14" s="1197">
        <f t="shared" si="1"/>
        <v>0</v>
      </c>
      <c r="J14" s="1164">
        <f t="shared" si="1"/>
        <v>0</v>
      </c>
      <c r="K14" s="1164">
        <f t="shared" si="1"/>
        <v>0</v>
      </c>
      <c r="L14" s="1198">
        <f t="shared" si="1"/>
        <v>0</v>
      </c>
      <c r="M14" s="1198">
        <f t="shared" si="1"/>
        <v>0</v>
      </c>
      <c r="N14" s="1198">
        <f t="shared" si="1"/>
        <v>137</v>
      </c>
      <c r="O14" s="1199">
        <f t="shared" si="1"/>
        <v>0</v>
      </c>
      <c r="P14" s="1199">
        <f t="shared" si="1"/>
        <v>0</v>
      </c>
      <c r="Q14" s="1198">
        <f t="shared" si="1"/>
        <v>344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28</v>
      </c>
      <c r="AC14" s="1198">
        <f t="shared" si="2"/>
        <v>381</v>
      </c>
      <c r="AD14" s="1198">
        <f t="shared" si="2"/>
        <v>0</v>
      </c>
      <c r="AE14" s="1198">
        <f t="shared" si="2"/>
        <v>0</v>
      </c>
      <c r="AF14" s="1198">
        <f t="shared" si="2"/>
        <v>19</v>
      </c>
      <c r="AG14" s="1198">
        <f t="shared" si="2"/>
        <v>0</v>
      </c>
      <c r="AH14" s="1198">
        <f t="shared" si="2"/>
        <v>29</v>
      </c>
      <c r="AI14" s="1198">
        <f t="shared" si="2"/>
        <v>0</v>
      </c>
      <c r="AJ14" s="1198">
        <f t="shared" si="2"/>
        <v>0</v>
      </c>
      <c r="AK14" s="1198">
        <f t="shared" si="2"/>
        <v>0</v>
      </c>
      <c r="AL14" s="1198">
        <f t="shared" si="2"/>
        <v>0</v>
      </c>
      <c r="AM14" s="1198">
        <f t="shared" si="2"/>
        <v>1387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435</v>
      </c>
      <c r="BD14" s="1198">
        <f t="shared" si="2"/>
        <v>695</v>
      </c>
      <c r="BE14" s="1198">
        <f t="shared" si="2"/>
        <v>0</v>
      </c>
      <c r="BF14" s="1198">
        <f t="shared" si="2"/>
        <v>0</v>
      </c>
      <c r="BG14" s="1198">
        <f>IF(ISNUMBER(Datos!K14/Datos!J14),Datos!K14/Datos!J14," - ")</f>
        <v>0.88579088471849865</v>
      </c>
      <c r="BH14" s="1202">
        <f>IF(ISNUMBER(((Datos!L14/Datos!K14)*11)/factor_trimestre),((Datos!L14/Datos!K14)*11)/factor_trimestre," - ")</f>
        <v>4.9806295399515736</v>
      </c>
      <c r="BI14" s="1198">
        <f>IF(ISNUMBER('Resol  Asuntos'!D14/NºAsuntos!G14),'Resol  Asuntos'!D14/NºAsuntos!G14," - ")</f>
        <v>0.24166666666666667</v>
      </c>
      <c r="BJ14" s="1198" t="str">
        <f>IF(ISNUMBER(Datos!CI14/Datos!CJ14),Datos!CI14/Datos!CJ14," - ")</f>
        <v xml:space="preserve"> - </v>
      </c>
      <c r="BK14" s="1198">
        <f>SUBTOTAL(9,BK8:BK13)</f>
        <v>0</v>
      </c>
      <c r="BL14" s="1198">
        <f>IF(ISNUMBER((I14-AB14+L14)/(F14)),(I14-AB14+L14)/(F14)," - ")</f>
        <v>-1.8666666666666667</v>
      </c>
      <c r="BM14" s="1203">
        <f>SUBTOTAL(9,BM9:BM13)</f>
        <v>0.19731552327843341</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419</v>
      </c>
      <c r="G17" s="743">
        <f>IF(ISNUMBER(IF(D_I="SI",Datos!I17,Datos!I17+Datos!AC17)),IF(D_I="SI",Datos!I17,Datos!I17+Datos!AC17)," - ")</f>
        <v>381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1540</v>
      </c>
      <c r="AC17" s="240">
        <f>IF(ISNUMBER(Datos!Q17),Datos!Q17," - ")</f>
        <v>52</v>
      </c>
      <c r="AD17" s="374"/>
      <c r="AE17" s="562"/>
      <c r="AF17" s="741">
        <f>IF(ISNUMBER(IF(D_I="SI",Datos!L17,Datos!L17+Datos!AF17)),IF(D_I="SI",Datos!L17,Datos!L17+Datos!AF17)," - ")</f>
        <v>544</v>
      </c>
      <c r="AG17" s="374"/>
      <c r="AH17" s="374"/>
      <c r="AI17" s="374"/>
      <c r="AJ17" s="549"/>
      <c r="AK17" s="374"/>
      <c r="AL17" s="545"/>
      <c r="AM17" s="375">
        <f>IF(ISNUMBER(Datos!R17),Datos!R17," - ")</f>
        <v>81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258</v>
      </c>
      <c r="BD17" s="243">
        <f>IF(ISNUMBER(Datos!N17),Datos!N17," - ")</f>
        <v>879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0.92492492492492495</v>
      </c>
      <c r="BH17" s="764">
        <f>IF(ISNUMBER(((IF(D_I="SI",Datos!L17/Datos!K17,(Datos!L17+Datos!AF17)/(Datos!K17+Datos!AE17)))*11)/factor_trimestre),((IF(D_I="SI",Datos!L17/Datos!K17,(Datos!L17+Datos!AF17)/(Datos!K17+Datos!AE17)))*11)/factor_trimestre," - ")</f>
        <v>3.8857142857142857</v>
      </c>
      <c r="BI17" s="266">
        <f>IF(ISNUMBER('Resol  Asuntos'!D17/NºAsuntos!G17),'Resol  Asuntos'!D17/NºAsuntos!G17," - ")</f>
        <v>0.16753246753246753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79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178</v>
      </c>
      <c r="AC18" s="547">
        <f>IF(ISNUMBER(Datos!Q18),Datos!Q18," - ")</f>
        <v>0</v>
      </c>
      <c r="AD18" s="549"/>
      <c r="AE18" s="562"/>
      <c r="AF18" s="551">
        <f>IF(ISNUMBER(Datos!L18),Datos!L18,"-")</f>
        <v>108</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11</v>
      </c>
      <c r="BD18" s="693">
        <f>IF(ISNUMBER(Datos!N18),Datos!N18," - ")</f>
        <v>90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0.9128205128205128</v>
      </c>
      <c r="BH18" s="764">
        <f>IF(ISNUMBER(((IF(D_I="SI",Datos!L18/Datos!K18,(Datos!L18+Datos!AF18)/(Datos!K18+Datos!AE18)))*11)/factor_trimestre),((IF(D_I="SI",Datos!L18/Datos!K18,(Datos!L18+Datos!AF18)/(Datos!K18+Datos!AE18)))*11)/factor_trimestre," - ")</f>
        <v>6.6741573033707873</v>
      </c>
      <c r="BI18" s="763">
        <f>IF(ISNUMBER('Resol  Asuntos'!D18/NºAsuntos!G18),'Resol  Asuntos'!D18/NºAsuntos!G18," - ")</f>
        <v>6.1797752808988762E-2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2</v>
      </c>
      <c r="F23" s="1197">
        <f>SUBTOTAL(9,F16:F22)</f>
        <v>419</v>
      </c>
      <c r="G23" s="1197">
        <f>SUBTOTAL(9,G16:G22)</f>
        <v>460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1718</v>
      </c>
      <c r="AC23" s="1198">
        <f t="shared" si="5"/>
        <v>52</v>
      </c>
      <c r="AD23" s="1198">
        <f t="shared" si="5"/>
        <v>0</v>
      </c>
      <c r="AE23" s="1198">
        <f t="shared" si="5"/>
        <v>0</v>
      </c>
      <c r="AF23" s="1198">
        <f t="shared" si="5"/>
        <v>652</v>
      </c>
      <c r="AG23" s="1198">
        <f t="shared" si="5"/>
        <v>0</v>
      </c>
      <c r="AH23" s="1198">
        <f t="shared" si="5"/>
        <v>0</v>
      </c>
      <c r="AI23" s="1198">
        <f t="shared" si="5"/>
        <v>0</v>
      </c>
      <c r="AJ23" s="1198">
        <f t="shared" si="5"/>
        <v>0</v>
      </c>
      <c r="AK23" s="1198">
        <f t="shared" si="5"/>
        <v>0</v>
      </c>
      <c r="AL23" s="1198">
        <f t="shared" si="5"/>
        <v>0</v>
      </c>
      <c r="AM23" s="1198">
        <f t="shared" si="5"/>
        <v>83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269</v>
      </c>
      <c r="BD23" s="1198">
        <f t="shared" si="5"/>
        <v>969</v>
      </c>
      <c r="BE23" s="1198">
        <f t="shared" si="5"/>
        <v>0</v>
      </c>
      <c r="BF23" s="1198">
        <f t="shared" si="5"/>
        <v>0</v>
      </c>
      <c r="BG23" s="1198">
        <f>IF(ISNUMBER(Datos!K23/Datos!J23),Datos!K23/Datos!J23," - ")</f>
        <v>0.92365591397849467</v>
      </c>
      <c r="BH23" s="1202">
        <f>IF(ISNUMBER(((Datos!L23/Datos!K23)*11)/factor_trimestre),((Datos!L23/Datos!K23)*11)/factor_trimestre," - ")</f>
        <v>4.1746216530849827</v>
      </c>
      <c r="BI23" s="1198">
        <f>SUBTOTAL(9,BI16:BI22)</f>
        <v>0.22933022034145628</v>
      </c>
      <c r="BJ23" s="1198">
        <f>SUBTOTAL(9,BJ16:BJ22)</f>
        <v>0</v>
      </c>
      <c r="BK23" s="1198">
        <f>SUBTOTAL(9,BK16:BK22)</f>
        <v>0</v>
      </c>
      <c r="BL23" s="1198">
        <f>IF(ISNUMBER((I23-AB23+L23)/(F23)),(I23-AB23+L23)/(F23)," - ")</f>
        <v>-4.100238663484487</v>
      </c>
      <c r="BM23" s="1205">
        <f>IF(ISNUMBER((Datos!P23-Datos!Q23)/(Datos!R23-Datos!P23+Datos!Q23)),(Datos!P23-Datos!Q23)/(Datos!R23-Datos!P23+Datos!Q23)," - ")</f>
        <v>3.7499999999999999E-2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4</v>
      </c>
      <c r="F31" s="1117">
        <f t="shared" si="18"/>
        <v>434</v>
      </c>
      <c r="G31" s="1117">
        <f t="shared" si="18"/>
        <v>475</v>
      </c>
      <c r="H31" s="1119">
        <f t="shared" si="18"/>
        <v>0</v>
      </c>
      <c r="I31" s="1117">
        <f t="shared" si="18"/>
        <v>0</v>
      </c>
      <c r="J31" s="1119">
        <f t="shared" si="18"/>
        <v>0</v>
      </c>
      <c r="K31" s="1119">
        <f t="shared" si="18"/>
        <v>0</v>
      </c>
      <c r="L31" s="1180">
        <f t="shared" si="18"/>
        <v>0</v>
      </c>
      <c r="M31" s="1180">
        <f t="shared" si="18"/>
        <v>0</v>
      </c>
      <c r="N31" s="1180">
        <f t="shared" si="18"/>
        <v>137</v>
      </c>
      <c r="O31" s="1180">
        <f t="shared" si="18"/>
        <v>0</v>
      </c>
      <c r="P31" s="1180">
        <f t="shared" si="18"/>
        <v>0</v>
      </c>
      <c r="Q31" s="1119">
        <f t="shared" si="18"/>
        <v>399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1746</v>
      </c>
      <c r="AC31" s="1118">
        <f t="shared" si="19"/>
        <v>433</v>
      </c>
      <c r="AD31" s="1118">
        <f t="shared" si="19"/>
        <v>0</v>
      </c>
      <c r="AE31" s="1118">
        <f t="shared" si="19"/>
        <v>0</v>
      </c>
      <c r="AF31" s="1125">
        <f t="shared" si="19"/>
        <v>671</v>
      </c>
      <c r="AG31" s="1125">
        <f t="shared" si="19"/>
        <v>0</v>
      </c>
      <c r="AH31" s="1125">
        <f t="shared" si="19"/>
        <v>29</v>
      </c>
      <c r="AI31" s="1125">
        <f t="shared" si="19"/>
        <v>0</v>
      </c>
      <c r="AJ31" s="1118">
        <f t="shared" si="19"/>
        <v>0</v>
      </c>
      <c r="AK31" s="1125">
        <f t="shared" si="19"/>
        <v>0</v>
      </c>
      <c r="AL31" s="1125">
        <f t="shared" si="19"/>
        <v>0</v>
      </c>
      <c r="AM31" s="1125">
        <f t="shared" si="19"/>
        <v>1470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704</v>
      </c>
      <c r="BD31" s="1117">
        <f t="shared" si="19"/>
        <v>1664</v>
      </c>
      <c r="BE31" s="1117">
        <f t="shared" si="19"/>
        <v>0</v>
      </c>
      <c r="BF31" s="1127">
        <f t="shared" si="19"/>
        <v>0</v>
      </c>
      <c r="BG31" s="1223">
        <f>IF(ISNUMBER(Datos!K31/Datos!J31),Datos!K31/Datos!J31," - ")</f>
        <v>0.90469798657718126</v>
      </c>
      <c r="BH31" s="1223">
        <f>IF(ISNUMBER(((Datos!L31/Datos!K31)*11)/factor_trimestre),((Datos!L31/Datos!K31)*11)/factor_trimestre," - ")</f>
        <v>4.5697329376854601</v>
      </c>
      <c r="BI31" s="1103">
        <f>IF(ISNUMBER(Datos!J31/Datos!I31),Datos!J31/Datos!I31," - ")</f>
        <v>3.6771964461994076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-4.0230414746543781</v>
      </c>
      <c r="BM31" s="1188">
        <f>IF(ISNUMBER((Datos!P31-Datos!Q31+R31)/(Datos!R31-Datos!P31+Datos!Q31-R31)),(Datos!P31-Datos!Q31+R31)/(Datos!R31-Datos!P31+Datos!Q31-R31)," - ")</f>
        <v>-2.2606382978723406E-2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135.71428571428572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212.60354340101358</v>
      </c>
      <c r="G33" s="674">
        <f>IF(ISNUMBER(STDEV(G8:G30)),STDEV(G8:G30),"-")</f>
        <v>197.70492683602527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776.14075797530188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193.16462261131417</v>
      </c>
      <c r="BD33" s="673"/>
      <c r="BE33" s="673">
        <f>IF(ISNUMBER(STDEV(BE8:BE30)),STDEV(BE8:BE30),"-")</f>
        <v>0</v>
      </c>
      <c r="BF33" s="678">
        <f>IF(ISNUMBER(STDEV(BF8:BF30)),STDEV(BF8:BF30),"-")</f>
        <v>0</v>
      </c>
      <c r="BG33" s="1052">
        <f>IF(ISNUMBER(STDEV(BG8:BG30)),STDEV(BG8:BG30),"-")</f>
        <v>2.0464632190132462E-2</v>
      </c>
      <c r="BH33" s="1058">
        <f>IF(ISNUMBER(STDEV(BH8:BH30)),STDEV(BH8:BH30),"-")</f>
        <v>1.4348134318241428</v>
      </c>
      <c r="BI33" s="273">
        <f>IF(ISNUMBER(STDEV(BI8:BI30)),STDEV(BI8:BI30),"-")</f>
        <v>8.2192261085902607E-2</v>
      </c>
      <c r="BJ33" s="244" t="str">
        <f>IF(ISNUMBER(BL33/BM33),BL33/BM33," - ")</f>
        <v xml:space="preserve"> - </v>
      </c>
      <c r="BK33" s="709"/>
      <c r="BL33" s="681">
        <f>IF(ISNUMBER(STDEV(BL8:BL30)),STDEV(BL8:BL30),"-")</f>
        <v>1.5793739052182605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15 abr. 2023</v>
      </c>
    </row>
    <row r="44" spans="1:74">
      <c r="C44" s="645"/>
      <c r="D44" s="646"/>
    </row>
  </sheetData>
  <sheetProtection algorithmName="SHA-512" hashValue="SKp5CckvBKDkk9Sg0JN9tIMOXkdG7XHx/VxUiPewKRVgFocHKl7luEmedtx0m6+iTKA517Y+U8y4jml/EInImw==" saltValue="IrWxup6ov59iL3qLbtrmQ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NAVARRA</v>
      </c>
    </row>
    <row r="2" spans="1:73" ht="16.5" customHeight="1">
      <c r="C2" s="647" t="str">
        <f>Criterios!A10 &amp;"  "&amp;Criterios!B10 &amp; "  " &amp; IF(NOT(ISBLANK(Criterios!A11)),Criterios!A11 &amp;"  "&amp;Criterios!B11,"")</f>
        <v>Provincias  NAVARRA  Resumenes por Partidos Judiciales  AOIZ-AGOITZ</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15</v>
      </c>
      <c r="G10" s="552">
        <f>IF(ISNUMBER(Datos!I10),Datos!I10," - ")</f>
        <v>15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8</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28</v>
      </c>
      <c r="Z10" s="805">
        <f>IF(ISNUMBER(Datos!Q10),Datos!Q10," - ")</f>
        <v>3</v>
      </c>
      <c r="AA10" s="551">
        <f>IF(ISNUMBER(Datos!L10),Datos!L10,"-")</f>
        <v>19</v>
      </c>
      <c r="AB10" s="549"/>
      <c r="AC10" s="549"/>
      <c r="AD10" s="563"/>
      <c r="AE10" s="563">
        <f>IF(ISNUMBER(Datos!R10),Datos!R10," - ")</f>
        <v>27</v>
      </c>
      <c r="AF10" s="693" t="str">
        <f>IF(ISNUMBER(Datos!BV10),Datos!BV10," - ")</f>
        <v xml:space="preserve"> - </v>
      </c>
      <c r="AG10" s="552" t="str">
        <f>IF(ISNUMBER(Datos!DV10),Datos!DV10," - ")</f>
        <v xml:space="preserve"> - </v>
      </c>
      <c r="AH10" s="553"/>
      <c r="AI10" s="554"/>
      <c r="AJ10" s="552">
        <f>IF(ISNUMBER(Datos!M10),Datos!M10," - ")</f>
        <v>10</v>
      </c>
      <c r="AK10" s="693">
        <f>IF(ISNUMBER(Datos!N10),Datos!N10," - ")</f>
        <v>8</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7.4642857142857144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0.22727272727272727</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336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378</v>
      </c>
      <c r="AA12" s="551" t="str">
        <f>IF(ISNUMBER(IF(J_V="SI",Datos!L12,Datos!L12+Datos!AB12)-IF(Monitorios="SI",Datos!CD12,0)),
                          IF(J_V="SI",Datos!L12,Datos!L12+Datos!AB12)-IF(Monitorios="SI",Datos!CD12,0),
                          " - ")</f>
        <v xml:space="preserve"> - </v>
      </c>
      <c r="AB12" s="549"/>
      <c r="AC12" s="549"/>
      <c r="AD12" s="563"/>
      <c r="AE12" s="563">
        <f>IF(ISNUMBER(Datos!R12),Datos!R12," - ")</f>
        <v>1360</v>
      </c>
      <c r="AF12" s="693" t="str">
        <f>IF(ISNUMBER(Datos!BV12),Datos!BV12," - ")</f>
        <v xml:space="preserve"> - </v>
      </c>
      <c r="AG12" s="552" t="str">
        <f>IF(ISNUMBER(Datos!DV12),Datos!DV12," - ")</f>
        <v xml:space="preserve"> - </v>
      </c>
      <c r="AH12" s="553"/>
      <c r="AI12" s="554"/>
      <c r="AJ12" s="552">
        <f>IF(ISNUMBER(Datos!M12),Datos!M12," - ")</f>
        <v>425</v>
      </c>
      <c r="AK12" s="693">
        <f>IF(ISNUMBER(Datos!N12),Datos!N12," - ")</f>
        <v>687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4.7054176072234766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-2.9957203994293864E-2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2</v>
      </c>
      <c r="F14" s="1197">
        <f>SUBTOTAL(9,F8:F13)</f>
        <v>15</v>
      </c>
      <c r="G14" s="1197">
        <f>SUBTOTAL(9,G8:G13)</f>
        <v>15</v>
      </c>
      <c r="H14" s="1211"/>
      <c r="I14" s="1197">
        <f t="shared" ref="I14:N14" si="1">SUBTOTAL(9,I8:I13)</f>
        <v>0</v>
      </c>
      <c r="J14" s="1164">
        <f t="shared" si="1"/>
        <v>0</v>
      </c>
      <c r="K14" s="1211">
        <f t="shared" si="1"/>
        <v>0</v>
      </c>
      <c r="L14" s="1211">
        <f t="shared" si="1"/>
        <v>0</v>
      </c>
      <c r="M14" s="1211">
        <f t="shared" si="1"/>
        <v>0</v>
      </c>
      <c r="N14" s="1211">
        <f t="shared" si="1"/>
        <v>344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28</v>
      </c>
      <c r="Z14" s="1210">
        <f t="shared" si="3"/>
        <v>381</v>
      </c>
      <c r="AA14" s="1199">
        <f t="shared" si="3"/>
        <v>19</v>
      </c>
      <c r="AB14" s="1199">
        <f t="shared" si="3"/>
        <v>0</v>
      </c>
      <c r="AC14" s="1199">
        <f t="shared" si="3"/>
        <v>0</v>
      </c>
      <c r="AD14" s="1199">
        <f t="shared" si="3"/>
        <v>0</v>
      </c>
      <c r="AE14" s="1199">
        <f t="shared" si="3"/>
        <v>1387</v>
      </c>
      <c r="AF14" s="1211">
        <f t="shared" si="3"/>
        <v>0</v>
      </c>
      <c r="AG14" s="1211">
        <f t="shared" si="3"/>
        <v>0</v>
      </c>
      <c r="AH14" s="1211">
        <f t="shared" si="3"/>
        <v>0</v>
      </c>
      <c r="AI14" s="1211">
        <f t="shared" si="3"/>
        <v>0</v>
      </c>
      <c r="AJ14" s="1211">
        <f t="shared" si="3"/>
        <v>435</v>
      </c>
      <c r="AK14" s="1211">
        <f t="shared" si="3"/>
        <v>695</v>
      </c>
      <c r="AL14" s="1211">
        <f t="shared" si="3"/>
        <v>0</v>
      </c>
      <c r="AM14" s="1211">
        <f t="shared" si="3"/>
        <v>0</v>
      </c>
      <c r="AN14" s="1211">
        <f t="shared" si="3"/>
        <v>0</v>
      </c>
      <c r="AO14" s="1203">
        <f>IF(ISNUMBER(((NºAsuntos!I14/NºAsuntos!G14)*11)/factor_trimestre),((NºAsuntos!I14/NºAsuntos!G14)*11)/factor_trimestre," - ")</f>
        <v>4.7483333333333331</v>
      </c>
      <c r="AP14" s="1213" t="str">
        <f>IF(ISNUMBER(Datos!CI14/Datos!CJ14),Datos!CI14/Datos!CJ14," - ")</f>
        <v xml:space="preserve"> - </v>
      </c>
      <c r="AQ14" s="1236">
        <f t="shared" ref="AQ14:AV14" si="4">SUBTOTAL(9,AQ9:AQ13)</f>
        <v>0</v>
      </c>
      <c r="AR14" s="1236">
        <f t="shared" si="4"/>
        <v>0.19731552327843341</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419</v>
      </c>
      <c r="G17" s="552">
        <f>IF(ISNUMBER(IF(D_I="SI",Datos!I17,Datos!I17+Datos!AC17)),IF(D_I="SI",Datos!I17,Datos!I17+Datos!AC17)," - ")</f>
        <v>381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1540</v>
      </c>
      <c r="Z17" s="805">
        <f>IF(ISNUMBER(Datos!Q17),Datos!Q17," - ")</f>
        <v>52</v>
      </c>
      <c r="AA17" s="551">
        <f>IF(ISNUMBER(IF(D_I="SI",Datos!L17,Datos!L17+Datos!AF17)),IF(D_I="SI",Datos!L17,Datos!L17+Datos!AF17)," - ")</f>
        <v>544</v>
      </c>
      <c r="AB17" s="549"/>
      <c r="AC17" s="549"/>
      <c r="AD17" s="563"/>
      <c r="AE17" s="563">
        <f>IF(ISNUMBER(Datos!R17),Datos!R17," - ")</f>
        <v>81</v>
      </c>
      <c r="AF17" s="693" t="str">
        <f>IF(ISNUMBER(Datos!BV17),Datos!BV17," - ")</f>
        <v xml:space="preserve"> - </v>
      </c>
      <c r="AG17" s="552"/>
      <c r="AH17" s="553"/>
      <c r="AI17" s="554"/>
      <c r="AJ17" s="552">
        <f>IF(ISNUMBER(Datos!M17),Datos!M17," - ")</f>
        <v>258</v>
      </c>
      <c r="AK17" s="693">
        <f>IF(ISNUMBER(Datos!N17),Datos!N17," - ")</f>
        <v>879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3.8857142857142857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79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178</v>
      </c>
      <c r="Z18" s="805">
        <f>IF(ISNUMBER(Datos!Q18),Datos!Q18," - ")</f>
        <v>0</v>
      </c>
      <c r="AA18" s="551">
        <f>IF(ISNUMBER(Datos!L18),Datos!L18,"-")</f>
        <v>108</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11</v>
      </c>
      <c r="AK18" s="693">
        <f>IF(ISNUMBER(Datos!N18),Datos!N18," - ")</f>
        <v>90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6.6741573033707873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2</v>
      </c>
      <c r="F23" s="1197">
        <f>SUBTOTAL(9,F16:F22)</f>
        <v>419</v>
      </c>
      <c r="G23" s="1197">
        <f>SUBTOTAL(9,G16:G22)</f>
        <v>460</v>
      </c>
      <c r="H23" s="1240">
        <f>SUBTOTAL(9,H16:H22)</f>
        <v>0</v>
      </c>
      <c r="I23" s="1217">
        <f>SUBTOTAL(9,I16:I22)</f>
        <v>0</v>
      </c>
      <c r="J23" s="1164">
        <f>SUBTOTAL(9,J15:J22)</f>
        <v>0</v>
      </c>
      <c r="K23" s="1240">
        <f t="shared" ref="K23:S23" si="5">SUBTOTAL(9,K16:K22)</f>
        <v>0</v>
      </c>
      <c r="L23" s="1240">
        <f t="shared" si="5"/>
        <v>0</v>
      </c>
      <c r="M23" s="1240">
        <f t="shared" si="5"/>
        <v>0</v>
      </c>
      <c r="N23" s="1240">
        <f t="shared" si="5"/>
        <v>55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1718</v>
      </c>
      <c r="Z23" s="1240">
        <f t="shared" si="6"/>
        <v>52</v>
      </c>
      <c r="AA23" s="1240">
        <f t="shared" si="6"/>
        <v>652</v>
      </c>
      <c r="AB23" s="1240">
        <f t="shared" si="6"/>
        <v>0</v>
      </c>
      <c r="AC23" s="1240">
        <f t="shared" si="6"/>
        <v>0</v>
      </c>
      <c r="AD23" s="1240">
        <f t="shared" si="6"/>
        <v>0</v>
      </c>
      <c r="AE23" s="1240">
        <f t="shared" si="6"/>
        <v>83</v>
      </c>
      <c r="AF23" s="1240">
        <f t="shared" si="6"/>
        <v>0</v>
      </c>
      <c r="AG23" s="1240">
        <f t="shared" si="6"/>
        <v>0</v>
      </c>
      <c r="AH23" s="1240">
        <f t="shared" si="6"/>
        <v>0</v>
      </c>
      <c r="AI23" s="1240">
        <f t="shared" si="6"/>
        <v>0</v>
      </c>
      <c r="AJ23" s="1240">
        <f t="shared" si="6"/>
        <v>269</v>
      </c>
      <c r="AK23" s="1240">
        <f t="shared" si="6"/>
        <v>969</v>
      </c>
      <c r="AL23" s="1240">
        <f t="shared" si="6"/>
        <v>0</v>
      </c>
      <c r="AM23" s="1240">
        <f t="shared" si="6"/>
        <v>0</v>
      </c>
      <c r="AN23" s="1240">
        <f t="shared" si="6"/>
        <v>0</v>
      </c>
      <c r="AO23" s="1242">
        <f>IF(ISNUMBER(((NºAsuntos!I23/NºAsuntos!G23)*11)/factor_trimestre),((NºAsuntos!I23/NºAsuntos!G23)*11)/factor_trimestre," - ")</f>
        <v>4.1746216530849827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434</v>
      </c>
      <c r="G31" s="1117">
        <f t="shared" si="12"/>
        <v>475</v>
      </c>
      <c r="H31" s="1118">
        <f t="shared" si="12"/>
        <v>0</v>
      </c>
      <c r="I31" s="1117">
        <f t="shared" si="12"/>
        <v>0</v>
      </c>
      <c r="J31" s="1119">
        <f t="shared" si="12"/>
        <v>0</v>
      </c>
      <c r="K31" s="1117">
        <f t="shared" si="12"/>
        <v>0</v>
      </c>
      <c r="L31" s="1120">
        <f t="shared" si="12"/>
        <v>0</v>
      </c>
      <c r="M31" s="1117">
        <f t="shared" si="12"/>
        <v>0</v>
      </c>
      <c r="N31" s="1118">
        <f t="shared" si="12"/>
        <v>399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1746</v>
      </c>
      <c r="Z31" s="1124">
        <f t="shared" si="13"/>
        <v>433</v>
      </c>
      <c r="AA31" s="1125">
        <f t="shared" si="13"/>
        <v>671</v>
      </c>
      <c r="AB31" s="1125">
        <f t="shared" si="13"/>
        <v>0</v>
      </c>
      <c r="AC31" s="1125">
        <f t="shared" si="13"/>
        <v>0</v>
      </c>
      <c r="AD31" s="1126">
        <f t="shared" si="13"/>
        <v>0</v>
      </c>
      <c r="AE31" s="1126">
        <f t="shared" si="13"/>
        <v>1470</v>
      </c>
      <c r="AF31" s="1127">
        <f t="shared" si="13"/>
        <v>0</v>
      </c>
      <c r="AG31" s="1128">
        <f t="shared" si="13"/>
        <v>0</v>
      </c>
      <c r="AH31" s="1129">
        <f t="shared" si="13"/>
        <v>0</v>
      </c>
      <c r="AI31" s="1127">
        <f t="shared" si="13"/>
        <v>0</v>
      </c>
      <c r="AJ31" s="1117">
        <f t="shared" si="13"/>
        <v>704</v>
      </c>
      <c r="AK31" s="1117">
        <f t="shared" si="13"/>
        <v>1664</v>
      </c>
      <c r="AL31" s="1117">
        <f t="shared" si="13"/>
        <v>0</v>
      </c>
      <c r="AM31" s="1130">
        <f t="shared" si="13"/>
        <v>0</v>
      </c>
      <c r="AN31" s="1120">
        <f>IF(ISNUMBER(Datos!K31/Datos!J31),Datos!K31/Datos!J31," - ")</f>
        <v>0.90469798657718126</v>
      </c>
      <c r="AO31" s="1120">
        <f>IF(ISNUMBER(FIND("06",Criterios!A8,1)),(IF(ISNUMBER(((Datos!R31/Datos!Q31)*11)/factor_trimestre),((Datos!R31/Datos!Q31)*11)/factor_trimestre," - ")),(IF(ISNUMBER(((Datos!L31/Datos!K31)*11)/factor_trimestre),((Datos!L31/Datos!K31)*11)/factor_trimestre," - ")))</f>
        <v>4.5697329376854601</v>
      </c>
      <c r="AP31" s="1131" t="str">
        <f>IF(ISNUMBER(Datos!CI31/Datos!CJ31),Datos!CI31/Datos!CJ31," - ")</f>
        <v xml:space="preserve"> - </v>
      </c>
      <c r="AQ31" s="1131">
        <f>IF(OR(ISNUMBER(FIND("01",Criterios!A8,1)),ISNUMBER(FIND("02",Criterios!A8,1)),ISNUMBER(FIND("03",Criterios!A8,1)),ISNUMBER(FIND("04",Criterios!A8,1))),(J31-Y31+K31)/(F31-K31),(I31-Y31+K31)/(F31-K31))</f>
        <v>-4.0230414746543781</v>
      </c>
      <c r="AR31" s="1131">
        <f>IF(ISNUMBER((Datos!P31-Datos!Q31+O31)/(Datos!R31-Datos!P31+Datos!Q31-O31)),(Datos!P31-Datos!Q31+O31)/(Datos!R31-Datos!P31+Datos!Q31-O31)," - ")</f>
        <v>-2.2606382978723406E-2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135.71428571428572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212.60354340101358</v>
      </c>
      <c r="G33" s="674">
        <f>IF(ISNUMBER(STDEV(G8:G30)),STDEV(G8:G30),"-")</f>
        <v>197.70492683602527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193.16462261131417</v>
      </c>
      <c r="AK33" s="276"/>
      <c r="AL33" s="276">
        <f>IF(ISNUMBER(STDEV(AL8:AL30)),STDEV(AL8:AL30),"-")</f>
        <v>0</v>
      </c>
      <c r="AM33" s="278">
        <f>IF(ISNUMBER(STDEV(AM8:AM30)),STDEV(AM8:AM30),"-")</f>
        <v>0</v>
      </c>
      <c r="AN33" s="660">
        <f>IF(ISNUMBER(STDEV(AN8:AN30)),STDEV(AN8:AN30),"-")</f>
        <v>0</v>
      </c>
      <c r="AO33" s="661">
        <f>IF(ISNUMBER(STDEV(AO8:AO30)),STDEV(AO8:AO30),"-")</f>
        <v>1.4486794824141132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15 abr. 2023</v>
      </c>
    </row>
    <row r="43" spans="1:73">
      <c r="V43" s="1378"/>
    </row>
    <row r="44" spans="1:73" ht="13.5" thickBot="1">
      <c r="C44" s="655"/>
      <c r="D44" s="645"/>
      <c r="E44" s="645"/>
    </row>
    <row r="45" spans="1:73" ht="15" thickBot="1">
      <c r="L45" s="668"/>
    </row>
  </sheetData>
  <sheetProtection algorithmName="SHA-512" hashValue="0YscVEYDWq01a5zqoQU2Kyh6gVbZTmt45EeoG5tNxX47xy84TYRBc2WMwUatr1nPCZ0eaNN+XOJHPoCTF/PR8g==" saltValue="ulL/d5hoo6ynk+OAWtx8M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UTUyRfAIzwo+xPqcRJVQyN8az84UL6ZudzuPsfZgk3Mozg5oEMZ5bsNWpDwA3tSXQx/CslEfHvPgmcG3EI97IQ==" saltValue="hLGTi/7fKAJMupi5f2sC6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8yJs63ovc5N9J+1SHLA/KRuvhNf4lr+9dkA0l5gxv7iGIFyzhVx+BuLP4nm/aFqJjxmXKdlE9rbsSg2a4vCcqg==" saltValue="9nvKqs7z0OukJkXQrCmLq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NAVARRA</v>
      </c>
      <c r="F1" s="856"/>
    </row>
    <row r="2" spans="1:75" ht="16.5" customHeight="1">
      <c r="C2" s="567" t="str">
        <f>Criterios!A10 &amp;"  "&amp;Criterios!B10 &amp; "  " &amp; IF(NOT(ISBLANK(Criterios!A11)),Criterios!A11 &amp;"  "&amp;Criterios!B11,"")</f>
        <v>Provincias  NAVARRA  Resumenes por Partidos Judiciales  AOIZ-AGOITZ</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0.24166666666666667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0.17088413878674899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15 abr. 2023</v>
      </c>
    </row>
    <row r="44" spans="1:75">
      <c r="C44" s="1048"/>
      <c r="D44" s="1049"/>
    </row>
  </sheetData>
  <sheetProtection algorithmName="SHA-512" hashValue="dyv32yLSQvNP0FV37LGBveCxf/YPnfU0n6NctMDIQ7FafyztUuUidxX3L6VITMXyIi+glB5+iqBN0f3XfmMg6g==" saltValue="vs5VDxaUo9MpW6pUQ1htO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uDSZpupzDBw1gK3kugY+ENZ/qa+A1Nh7xkwlo2UutODLbf2kNXH2Tbqppv2mcBXt2w5ngd7K7fQGm3cXlZpypQ==" saltValue="Un+DHWKyQ7JZisNZr1lx7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NAVARRA</v>
      </c>
      <c r="C2" s="436"/>
      <c r="D2" s="436"/>
      <c r="E2" s="436"/>
      <c r="F2" s="436"/>
    </row>
    <row r="3" spans="1:14" ht="19.5">
      <c r="A3" s="438" t="s">
        <v>159</v>
      </c>
      <c r="B3" s="439" t="str">
        <f>Criterios!A10 &amp;"  "&amp;Criterios!B10</f>
        <v>Provincias  NAVARRA</v>
      </c>
      <c r="D3" s="436"/>
      <c r="E3" s="436"/>
      <c r="F3" s="436"/>
    </row>
    <row r="4" spans="1:14" ht="13.5" thickBot="1">
      <c r="A4" s="436"/>
      <c r="B4" s="439" t="str">
        <f>Criterios!A11 &amp;"  "&amp;Criterios!B11</f>
        <v>Resumenes por Partidos Judiciales  AOIZ-AGOITZ</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15</v>
      </c>
      <c r="D10" s="452">
        <f>IF(ISNUMBER(C10/Datos!BH10),C10/Datos!BH10," - ")</f>
        <v>15</v>
      </c>
      <c r="E10" s="451">
        <f>IF(ISNUMBER(Datos!J10),Datos!J10," - ")</f>
        <v>32</v>
      </c>
      <c r="F10" s="452">
        <f>IF(ISNUMBER(E10/B10),E10/B10," - ")</f>
        <v>32</v>
      </c>
      <c r="G10" s="451">
        <f>IF(ISNUMBER(Datos!K10),Datos!K10," - ")</f>
        <v>28</v>
      </c>
      <c r="H10" s="452">
        <f>IF(ISNUMBER(G10/B10),G10/B10," - ")</f>
        <v>28</v>
      </c>
      <c r="I10" s="451">
        <f>IF(ISNUMBER(Datos!L10),Datos!L10," - ")</f>
        <v>19</v>
      </c>
      <c r="J10" s="452">
        <f>IF(ISNUMBER(I10/B10),I10/B10," - ")</f>
        <v>19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580</v>
      </c>
      <c r="D12" s="452">
        <f>IF(ISNUMBER(C12/Datos!BH12),C12/Datos!BH12," - ")</f>
        <v>290</v>
      </c>
      <c r="E12" s="451">
        <f>IF(ISNUMBER(IF(J_V="SI",Datos!J12,Datos!J12+Datos!Z12)),IF(J_V="SI",Datos!J12,Datos!J12+Datos!Z12)," - ")</f>
        <v>1970</v>
      </c>
      <c r="F12" s="452">
        <f>IF(ISNUMBER(E12/B12),E12/B12," - ")</f>
        <v>985</v>
      </c>
      <c r="G12" s="451">
        <f>IF(ISNUMBER(IF(J_V="SI",Datos!K12,Datos!K12+Datos!AA12)),IF(J_V="SI",Datos!K12,Datos!K12+Datos!AA12)," - ")</f>
        <v>1772</v>
      </c>
      <c r="H12" s="452">
        <f>IF(ISNUMBER(G12/B12),G12/B12," - ")</f>
        <v>886</v>
      </c>
      <c r="I12" s="451">
        <f>IF(ISNUMBER(IF(J_V="SI",Datos!L12,Datos!L12+Datos!AB12)),IF(J_V="SI",Datos!L12,Datos!L12+Datos!AB12)," - ")</f>
        <v>758</v>
      </c>
      <c r="J12" s="452">
        <f>IF(ISNUMBER(I12/B12),I12/B12," - ")</f>
        <v>379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595</v>
      </c>
      <c r="D14" s="1147" t="str">
        <f>IF(ISNUMBER(C14/Datos!BI14),C14/Datos!BI14," - ")</f>
        <v xml:space="preserve"> - </v>
      </c>
      <c r="E14" s="1146">
        <f>SUBTOTAL(9,E8:E13)</f>
        <v>2002</v>
      </c>
      <c r="F14" s="1147">
        <f>IF(ISNUMBER(E14/B14),E14/B14," - ")</f>
        <v>1001</v>
      </c>
      <c r="G14" s="1146">
        <f>SUBTOTAL(9,G8:G13)</f>
        <v>1800</v>
      </c>
      <c r="H14" s="1147">
        <f>IF(ISNUMBER(G14/B14),G14/B14," - ")</f>
        <v>900</v>
      </c>
      <c r="I14" s="1146">
        <f>SUBTOTAL(9,I8:I13)</f>
        <v>777</v>
      </c>
      <c r="J14" s="1147">
        <f>IF(ISNUMBER(I14/B14),I14/B14," - ")</f>
        <v>388.5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381</v>
      </c>
      <c r="D17" s="452">
        <f>IF(ISNUMBER(C17/Datos!BH17),C17/Datos!BH17," - ")</f>
        <v>190.5</v>
      </c>
      <c r="E17" s="451">
        <f>IF(ISNUMBER(IF(D_I="SI",Datos!J17,Datos!J17+Datos!AD17)),IF(D_I="SI",Datos!J17,Datos!J17+Datos!AD17)," - ")</f>
        <v>1665</v>
      </c>
      <c r="F17" s="452">
        <f>IF(ISNUMBER(E17/B17),E17/B17," - ")</f>
        <v>832.5</v>
      </c>
      <c r="G17" s="451">
        <f>IF(ISNUMBER(IF(D_I="SI",Datos!K17,Datos!K17+Datos!AE17)),IF(D_I="SI",Datos!K17,Datos!K17+Datos!AE17)," - ")</f>
        <v>1540</v>
      </c>
      <c r="H17" s="452">
        <f>IF(ISNUMBER(G17/B17),G17/B17," - ")</f>
        <v>770</v>
      </c>
      <c r="I17" s="451">
        <f>IF(ISNUMBER(IF(D_I="SI",Datos!L17,Datos!L17+Datos!AF17)),IF(D_I="SI",Datos!L17,Datos!L17+Datos!AF17)," - ")</f>
        <v>544</v>
      </c>
      <c r="J17" s="452">
        <f>IF(ISNUMBER(I17/B17),I17/B17," - ")</f>
        <v>272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79</v>
      </c>
      <c r="D18" s="452">
        <f>IF(ISNUMBER(C18/Datos!BH18),C18/Datos!BH18," - ")</f>
        <v>79</v>
      </c>
      <c r="E18" s="451">
        <f>IF(ISNUMBER(IF(D_I="SI",Datos!J18,Datos!J18+Datos!AD18)),IF(D_I="SI",Datos!J18,Datos!J18+Datos!AD18)," - ")</f>
        <v>195</v>
      </c>
      <c r="F18" s="452">
        <f>IF(ISNUMBER(E18/B18),E18/B18," - ")</f>
        <v>195</v>
      </c>
      <c r="G18" s="451">
        <f>IF(ISNUMBER(IF(D_I="SI",Datos!K18,Datos!K18+Datos!AE18)),IF(D_I="SI",Datos!K18,Datos!K18+Datos!AE18)," - ")</f>
        <v>178</v>
      </c>
      <c r="H18" s="452">
        <f>IF(ISNUMBER(G18/B18),G18/B18," - ")</f>
        <v>178</v>
      </c>
      <c r="I18" s="451">
        <f>IF(ISNUMBER(IF(D_I="SI",Datos!L18,Datos!L18+Datos!AF18)),IF(D_I="SI",Datos!L18,Datos!L18+Datos!AF18)," - ")</f>
        <v>108</v>
      </c>
      <c r="J18" s="452">
        <f>IF(ISNUMBER(I18/B18),I18/B18," - ")</f>
        <v>108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460</v>
      </c>
      <c r="D23" s="1147" t="str">
        <f>IF(ISNUMBER(C23/Datos!BI23),C23/Datos!BI23," - ")</f>
        <v xml:space="preserve"> - </v>
      </c>
      <c r="E23" s="1146">
        <f>SUBTOTAL(9,E15:E22)</f>
        <v>1860</v>
      </c>
      <c r="F23" s="1147">
        <f>IF(ISNUMBER(E23/B23),E23/B23," - ")</f>
        <v>930</v>
      </c>
      <c r="G23" s="1146">
        <f>SUBTOTAL(9,G15:G22)</f>
        <v>1718</v>
      </c>
      <c r="H23" s="1147">
        <f>IF(ISNUMBER(G23/B23),G23/B23," - ")</f>
        <v>859</v>
      </c>
      <c r="I23" s="1146">
        <f>SUBTOTAL(9,I15:I22)</f>
        <v>652</v>
      </c>
      <c r="J23" s="1147">
        <f>IF(ISNUMBER(I23/B23),I23/B23," - ")</f>
        <v>326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1055</v>
      </c>
      <c r="D31" s="1085" t="str">
        <f>IF(ISNUMBER(C31/Datos!BI31),C31/Datos!BI31," - ")</f>
        <v xml:space="preserve"> - </v>
      </c>
      <c r="E31" s="1084">
        <f>SUBTOTAL(9,E9:E30)</f>
        <v>3862</v>
      </c>
      <c r="F31" s="1085">
        <f>IF(ISNUMBER(E31/B31),E31/B31," - ")</f>
        <v>1931</v>
      </c>
      <c r="G31" s="1084">
        <f>SUBTOTAL(9,G9:G30)</f>
        <v>3518</v>
      </c>
      <c r="H31" s="1085">
        <f>IF(ISNUMBER(G31/B31),G31/B31," - ")</f>
        <v>1759</v>
      </c>
      <c r="I31" s="1084">
        <f>SUBTOTAL(9,I9:I30)</f>
        <v>1429</v>
      </c>
      <c r="J31" s="1085">
        <f>IF(ISNUMBER(I31/B31),I31/B31," - ")</f>
        <v>714.5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15 abr. 2023</v>
      </c>
    </row>
    <row r="39" spans="1:2">
      <c r="A39" s="462"/>
    </row>
  </sheetData>
  <sheetProtection algorithmName="SHA-512" hashValue="/nY4LDk3XPtXRuJyMUE3dLjK5lTe3gotXohJa6eK4RRoR8p9UTs/rt+SsLeoU1o30tIaTXZVKPWTzN7r08bLLQ==" saltValue="urkOHSkeKZtu2bw6Qk0ja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NAVARRA</v>
      </c>
      <c r="F1" s="856"/>
      <c r="W1"/>
      <c r="X1"/>
      <c r="BE1" s="856"/>
    </row>
    <row r="2" spans="1:65" ht="16.5" customHeight="1">
      <c r="C2" s="567" t="str">
        <f>Criterios!A10 &amp;"  "&amp;Criterios!B10 &amp; "  " &amp; IF(NOT(ISBLANK(Criterios!A11)),Criterios!A11 &amp;"  "&amp;Criterios!B11,"")</f>
        <v>Provincias  NAVARRA  Resumenes por Partidos Judiciales  AOIZ-AGOITZ</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15</v>
      </c>
      <c r="G10" s="906">
        <f>IF(ISNUMBER(Datos!I10),Datos!I10," - ")</f>
        <v>15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8</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28</v>
      </c>
      <c r="AC10" s="905" t="str">
        <f>IF(ISNUMBER(IF(D_I="SI",DatosP!K18,DatosP!K18+DatosP!AE18)),IF(D_I="SI",DatosP!K18,DatosP!K18+DatosP!AE18)," - ")</f>
        <v xml:space="preserve"> - </v>
      </c>
      <c r="AD10" s="907"/>
      <c r="AE10" s="907"/>
      <c r="AF10" s="910">
        <f>IF(ISNUMBER(Datos!L10),Datos!L10,"-")</f>
        <v>19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10</v>
      </c>
      <c r="AM10" s="914">
        <f>IF(ISNUMBER(Datos!N10+DatosP!N18),Datos!N10+DatosP!N18," - ")</f>
        <v>8</v>
      </c>
      <c r="AN10" s="914">
        <f>IF(ISNUMBER(Datos!BW10+DatosP!BW18),Datos!BW10+DatosP!BW18," - ")</f>
        <v>0</v>
      </c>
      <c r="AO10" s="915">
        <f>IF(ISNUMBER(Datos!BX10+DatosP!BX18),Datos!BX10+DatosP!BX18," - ")</f>
        <v>0</v>
      </c>
      <c r="AP10" s="917">
        <f>IF(ISNUMBER(((Datos!L10/Datos!K10)*11)/factor_trimestre),((Datos!L10/Datos!K10)*11)/factor_trimestre," - ")</f>
        <v>7.4642857142857144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336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378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1360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425</v>
      </c>
      <c r="AM12" s="914">
        <f>IF(ISNUMBER(Datos!N12+DatosP!N17),Datos!N12+DatosP!N17," - ")</f>
        <v>687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4.7054176072234766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-2.9957203994293864E-2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15</v>
      </c>
      <c r="G14" s="1256">
        <f t="shared" si="0"/>
        <v>15</v>
      </c>
      <c r="H14" s="1256">
        <f t="shared" si="0"/>
        <v>0</v>
      </c>
      <c r="I14" s="1258">
        <f t="shared" si="0"/>
        <v>0</v>
      </c>
      <c r="J14" s="1257">
        <f t="shared" si="0"/>
        <v>0</v>
      </c>
      <c r="K14" s="1257">
        <f t="shared" si="0"/>
        <v>0</v>
      </c>
      <c r="L14" s="1259">
        <f t="shared" si="0"/>
        <v>0</v>
      </c>
      <c r="M14" s="1259">
        <f t="shared" si="0"/>
        <v>0</v>
      </c>
      <c r="N14" s="1257">
        <f t="shared" si="0"/>
        <v>344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28</v>
      </c>
      <c r="AC14" s="1257">
        <f t="shared" si="1"/>
        <v>0</v>
      </c>
      <c r="AD14" s="1257">
        <f t="shared" si="1"/>
        <v>378</v>
      </c>
      <c r="AE14" s="1257">
        <f t="shared" si="1"/>
        <v>0</v>
      </c>
      <c r="AF14" s="1257">
        <f t="shared" si="1"/>
        <v>19</v>
      </c>
      <c r="AG14" s="1257">
        <f t="shared" si="1"/>
        <v>0</v>
      </c>
      <c r="AH14" s="1257">
        <f t="shared" si="1"/>
        <v>1360</v>
      </c>
      <c r="AI14" s="1257">
        <f t="shared" si="1"/>
        <v>0</v>
      </c>
      <c r="AJ14" s="1257">
        <f t="shared" si="1"/>
        <v>0</v>
      </c>
      <c r="AK14" s="1257">
        <f t="shared" si="1"/>
        <v>0</v>
      </c>
      <c r="AL14" s="1257">
        <f t="shared" si="1"/>
        <v>435</v>
      </c>
      <c r="AM14" s="1257">
        <f t="shared" si="1"/>
        <v>695</v>
      </c>
      <c r="AN14" s="1257">
        <f t="shared" si="1"/>
        <v>0</v>
      </c>
      <c r="AO14" s="1257">
        <f t="shared" si="1"/>
        <v>0</v>
      </c>
      <c r="AP14" s="1262">
        <f>IF(ISNUMBER(((Datos!L14/Datos!K14)*11)/factor_trimestre),((Datos!L14/Datos!K14)*11)/factor_trimestre," - ")</f>
        <v>4.9806295399515736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-1.8666666666666667</v>
      </c>
      <c r="AU14" s="1257" t="str">
        <f>IF(ISNUMBER((DatosP!#REF!-DatosP!#REF!+DatosP!#REF!)/(DatosP!#REF!+DatosP!#REF!-DatosP!#REF!-DatosP!#REF!)),(DatosP!#REF!-DatosP!#REF!+DatosP!#REF!)/(DatosP!#REF!+DatosP!#REF!-DatosP!#REF!-DatosP!#REF!)," - ")</f>
        <v xml:space="preserve"> - </v>
      </c>
      <c r="AV14" s="1263">
        <f>SUBTOTAL(9,AV9:AV13)</f>
        <v>-2.9957203994293864E-2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4.1746216530849827</v>
      </c>
      <c r="AQ23" s="1262">
        <f>IF(ISNUMBER(((Datos!M23/Datos!L23)*11)/factor_trimestre),((Datos!M23/Datos!L23)*11)/factor_trimestre," - ")</f>
        <v>4.5383435582822083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3.7499999999999999E-2</v>
      </c>
      <c r="AW23" s="1265">
        <f>IF(ISNUMBER((Datos!Q23-Datos!R23)/(Datos!S23-Datos!Q23+Datos!R23)),(Datos!Q23-Datos!R23)/(Datos!S23-Datos!Q23+Datos!R23)," - ")</f>
        <v>-5.3173241852487133E-2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15</v>
      </c>
      <c r="G31" s="1278">
        <f t="shared" si="8"/>
        <v>15</v>
      </c>
      <c r="H31" s="1278">
        <f t="shared" si="8"/>
        <v>0</v>
      </c>
      <c r="I31" s="1279">
        <f t="shared" si="8"/>
        <v>0</v>
      </c>
      <c r="J31" s="1280">
        <f t="shared" si="8"/>
        <v>0</v>
      </c>
      <c r="K31" s="1280">
        <f t="shared" si="8"/>
        <v>0</v>
      </c>
      <c r="L31" s="1280">
        <f t="shared" si="8"/>
        <v>0</v>
      </c>
      <c r="M31" s="1280">
        <f t="shared" si="8"/>
        <v>0</v>
      </c>
      <c r="N31" s="1279">
        <f t="shared" si="8"/>
        <v>344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28</v>
      </c>
      <c r="AC31" s="1284">
        <f t="shared" si="9"/>
        <v>0</v>
      </c>
      <c r="AD31" s="1284">
        <f t="shared" si="9"/>
        <v>378</v>
      </c>
      <c r="AE31" s="1284">
        <f t="shared" si="9"/>
        <v>0</v>
      </c>
      <c r="AF31" s="1285">
        <f t="shared" si="9"/>
        <v>19</v>
      </c>
      <c r="AG31" s="1285">
        <f t="shared" si="9"/>
        <v>0</v>
      </c>
      <c r="AH31" s="1285">
        <f t="shared" si="9"/>
        <v>1360</v>
      </c>
      <c r="AI31" s="1285">
        <f t="shared" si="9"/>
        <v>0</v>
      </c>
      <c r="AJ31" s="1286">
        <f t="shared" si="9"/>
        <v>0</v>
      </c>
      <c r="AK31" s="1286">
        <f t="shared" si="9"/>
        <v>0</v>
      </c>
      <c r="AL31" s="1278">
        <f t="shared" si="9"/>
        <v>435</v>
      </c>
      <c r="AM31" s="1278">
        <f t="shared" si="9"/>
        <v>695</v>
      </c>
      <c r="AN31" s="1278">
        <f t="shared" si="9"/>
        <v>0</v>
      </c>
      <c r="AO31" s="1278">
        <f t="shared" si="9"/>
        <v>0</v>
      </c>
      <c r="AP31" s="1278">
        <f>IF(ISNUMBER(((Datos!L31/Datos!K31)*11)/factor_trimestre),((Datos!L31/Datos!K31)*11)/factor_trimestre," - ")</f>
        <v>4.5697329376854601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-1.8666666666666667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-2.2606382978723406E-2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8.2158383625774913</v>
      </c>
      <c r="G33" s="1007">
        <f>IF(ISNUMBER(STDEV(G8:G30)),STDEV(G8:G30),"-")</f>
        <v>8.2158383625774913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15.336231610144651</v>
      </c>
      <c r="AC33" s="1008">
        <f>IF(ISNUMBER(STDEV(AC8:AC30)),STDEV(AC8:AC30),"-")</f>
        <v>0</v>
      </c>
      <c r="AD33" s="1011"/>
      <c r="AE33" s="1011"/>
      <c r="AF33" s="1011"/>
      <c r="AG33" s="1011"/>
      <c r="AH33" s="1011"/>
      <c r="AI33" s="1011"/>
      <c r="AJ33" s="1012">
        <f>IF(ISNUMBER(STDEV(AJ8:AJ30)),STDEV(AJ8:AJ30),"-")</f>
        <v>0</v>
      </c>
      <c r="AK33" s="1014"/>
      <c r="AL33" s="1006">
        <f>IF(ISNUMBER(STDEV(AL8:AL30)),STDEV(AL8:AL30),"-")</f>
        <v>220.81666603768838</v>
      </c>
      <c r="AM33" s="1006"/>
      <c r="AN33" s="1006">
        <f>IF(ISNUMBER(STDEV(AN8:AN30)),STDEV(AN8:AN30),"-")</f>
        <v>0</v>
      </c>
      <c r="AO33" s="1012">
        <f>IF(ISNUMBER(STDEV(AO8:AO30)),STDEV(AO8:AO30),"-")</f>
        <v>0</v>
      </c>
      <c r="AP33" s="1065">
        <f>IF(ISNUMBER(STDEV(AP8:AP30)),STDEV(AP8:AP30),"-")</f>
        <v>1.4608480849197905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15 abr. 2023</v>
      </c>
      <c r="W42"/>
      <c r="X42"/>
    </row>
    <row r="44" spans="1:57">
      <c r="C44" s="1048"/>
      <c r="D44" s="1049"/>
      <c r="W44"/>
      <c r="X44"/>
    </row>
  </sheetData>
  <sheetProtection algorithmName="SHA-512" hashValue="0V2nkrp7gbJmO2faBiHjLW2RK2qO5VwVJvmDc5raaOletG9fo5PnqJX94jZJKi44YC1k5IrxRuMpfJlrEIaysg==" saltValue="gJw+B/rpYHz5h1GdpkyL2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NAVARRA</v>
      </c>
      <c r="C2" s="436"/>
      <c r="E2" s="436"/>
      <c r="F2" s="436"/>
      <c r="G2" s="436"/>
      <c r="H2" s="436"/>
    </row>
    <row r="3" spans="1:15" ht="39">
      <c r="A3" s="463" t="s">
        <v>280</v>
      </c>
      <c r="B3" s="439" t="str">
        <f>Criterios!A10 &amp;"  "&amp;Criterios!B10</f>
        <v>Provincias  NAVARRA</v>
      </c>
      <c r="C3" s="463"/>
      <c r="F3" s="436"/>
      <c r="G3" s="436"/>
      <c r="H3" s="436"/>
    </row>
    <row r="4" spans="1:15" ht="13.5" thickBot="1">
      <c r="A4" s="436"/>
      <c r="B4" s="439" t="str">
        <f>Criterios!A11 &amp;"  "&amp;Criterios!B11</f>
        <v>Resumenes por Partidos Judiciales  AOIZ-AGOITZ</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15 abr. 2023</v>
      </c>
      <c r="B35" s="439"/>
      <c r="C35" s="439"/>
    </row>
    <row r="39" spans="1:4">
      <c r="A39" s="462"/>
      <c r="B39" s="462"/>
      <c r="C39" s="462"/>
    </row>
  </sheetData>
  <sheetProtection algorithmName="SHA-512" hashValue="skFL7kvx0lzDs7wjGDtLDNSHFt+keW/T2RumOBrU/RdDFeGeTNIxFXwKjqP7qDwe2nqpGf8FrlvxmOK/pS1cjQ==" saltValue="ZtMsPj5BGRCxuX+IohGvM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NAVARRA</v>
      </c>
      <c r="C2" s="475"/>
      <c r="D2" s="418"/>
    </row>
    <row r="3" spans="1:9" ht="19.5">
      <c r="A3" s="476" t="s">
        <v>16</v>
      </c>
      <c r="B3" s="477" t="str">
        <f>Criterios!A10 &amp;"  "&amp;Criterios!B10</f>
        <v>Provincias  NAVARRA</v>
      </c>
      <c r="C3" s="475"/>
      <c r="D3" s="476"/>
    </row>
    <row r="4" spans="1:9" ht="13.5" thickBot="1">
      <c r="B4" s="477" t="str">
        <f>Criterios!A11 &amp;"  "&amp;Criterios!B11</f>
        <v>Resumenes por Partidos Judiciales  AOIZ-AGOITZ</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10</v>
      </c>
      <c r="E10" s="452">
        <f>IF(ISNUMBER(D10/B10),D10/B10," - ")</f>
        <v>10</v>
      </c>
      <c r="F10" s="451">
        <f>IF(ISNUMBER(Datos!N10),Datos!N10," - ")</f>
        <v>8</v>
      </c>
      <c r="G10" s="452">
        <f>IF(ISNUMBER(F10/B10),F10/B10," - ")</f>
        <v>8</v>
      </c>
      <c r="H10" s="451">
        <f>IF(ISNUMBER(Datos!O10),Datos!O10," - ")</f>
        <v>9</v>
      </c>
      <c r="I10" s="452">
        <f t="shared" ref="I10:I13" si="2">IF(ISNUMBER(H10/B10),H10/B10," - ")</f>
        <v>9</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425</v>
      </c>
      <c r="E12" s="452">
        <f t="shared" si="0"/>
        <v>212.5</v>
      </c>
      <c r="F12" s="451">
        <f>IF(ISNUMBER(Datos!N12),Datos!N12," - ")</f>
        <v>687</v>
      </c>
      <c r="G12" s="452">
        <f t="shared" si="1"/>
        <v>343.5</v>
      </c>
      <c r="H12" s="451">
        <f>IF(ISNUMBER(Datos!O12),Datos!O12," - ")</f>
        <v>910</v>
      </c>
      <c r="I12" s="452">
        <f t="shared" si="2"/>
        <v>455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435</v>
      </c>
      <c r="E14" s="1147">
        <f t="shared" si="0"/>
        <v>145</v>
      </c>
      <c r="F14" s="1146">
        <f>SUBTOTAL(9,F9:F13)</f>
        <v>695</v>
      </c>
      <c r="G14" s="1147">
        <f t="shared" si="1"/>
        <v>231.66666666666666</v>
      </c>
      <c r="H14" s="1146">
        <f>SUBTOTAL(9,H9:H13)</f>
        <v>919</v>
      </c>
      <c r="I14" s="1147">
        <f>IF(ISNUMBER(H14/B14),H14/B14," - ")</f>
        <v>306.33333333333331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258</v>
      </c>
      <c r="E17" s="452">
        <f t="shared" si="3"/>
        <v>129</v>
      </c>
      <c r="F17" s="451">
        <f>IF(ISNUMBER(Datos!N17),Datos!N17," - ")</f>
        <v>879</v>
      </c>
      <c r="G17" s="452">
        <f t="shared" si="4"/>
        <v>439.5</v>
      </c>
      <c r="H17" s="451">
        <f>IF(ISNUMBER(Datos!O17),Datos!O17," - ")</f>
        <v>0</v>
      </c>
      <c r="I17" s="452">
        <f t="shared" si="5"/>
        <v>0</v>
      </c>
    </row>
    <row r="18" spans="1:9">
      <c r="A18" s="450" t="str">
        <f>Datos!A18</f>
        <v>Jdos. Violencia contra la mujer</v>
      </c>
      <c r="B18" s="480">
        <f>Datos!AO18</f>
        <v>1</v>
      </c>
      <c r="C18" s="481">
        <f>Datos!AQ18</f>
        <v>0</v>
      </c>
      <c r="D18" s="451">
        <f>IF(ISNUMBER(Datos!M18),Datos!M18," - ")</f>
        <v>11</v>
      </c>
      <c r="E18" s="452">
        <f>IF(ISNUMBER(D18/B18),D18/B18," - ")</f>
        <v>11</v>
      </c>
      <c r="F18" s="451">
        <f>IF(ISNUMBER(Datos!N18),Datos!N18," - ")</f>
        <v>90</v>
      </c>
      <c r="G18" s="452">
        <f>IF(ISNUMBER(F18/B18),F18/B18," - ")</f>
        <v>90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269</v>
      </c>
      <c r="E23" s="1147">
        <f t="shared" si="3"/>
        <v>89.666666666666671</v>
      </c>
      <c r="F23" s="1146">
        <f>SUBTOTAL(9,F16:F22)</f>
        <v>969</v>
      </c>
      <c r="G23" s="1147">
        <f t="shared" si="4"/>
        <v>323</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704</v>
      </c>
      <c r="E31" s="1085">
        <f>IF(ISNUMBER(D31/B31),D31/B31," - ")</f>
        <v>352</v>
      </c>
      <c r="F31" s="1084">
        <f>SUBTOTAL(9,F8:F30)</f>
        <v>1664</v>
      </c>
      <c r="G31" s="1085">
        <f>IF(ISNUMBER(F31/B31),F31/B31," - ")</f>
        <v>832</v>
      </c>
      <c r="H31" s="1084">
        <f>SUBTOTAL(9,H8:H30)</f>
        <v>919</v>
      </c>
      <c r="I31" s="1085">
        <f>IF(ISNUMBER(H31/B31),H31/B31," - ")</f>
        <v>459.5</v>
      </c>
    </row>
    <row r="34" spans="1:1">
      <c r="A34" s="439" t="str">
        <f>Criterios!A4</f>
        <v>Fecha Informe: 15 abr. 2023</v>
      </c>
    </row>
    <row r="39" spans="1:1">
      <c r="A39" s="462"/>
    </row>
  </sheetData>
  <sheetProtection algorithmName="SHA-512" hashValue="x1NEyc4BtRLlRdrGN1bbO0swLfyxRITqWp31VH+u/Joxj121ZW44yEcUsmB0Gmg/CLvQCIeTNicD98I9M8cYlQ==" saltValue="PcKWVT+kBKlcJmu0/Qdoi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NAVARRA</v>
      </c>
    </row>
    <row r="3" spans="1:4" ht="19.5">
      <c r="A3" s="484" t="s">
        <v>48</v>
      </c>
      <c r="B3" s="439" t="str">
        <f>Criterios!A10 &amp;"  "&amp;Criterios!B10</f>
        <v>Provincias  NAVARRA</v>
      </c>
    </row>
    <row r="4" spans="1:4" ht="13.5" thickBot="1">
      <c r="B4" s="439" t="str">
        <f>Criterios!A11 &amp;"  "&amp;Criterios!B11</f>
        <v>Resumenes por Partidos Judiciales  AOIZ-AGOITZ</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8</v>
      </c>
      <c r="C10" s="489">
        <f>IF(ISNUMBER(Datos!Q10),Datos!Q10," - ")</f>
        <v>3</v>
      </c>
      <c r="D10" s="456">
        <f>IF(ISNUMBER(Datos!R10),Datos!R10," - ")</f>
        <v>27</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336</v>
      </c>
      <c r="C12" s="489">
        <f>IF(ISNUMBER(Datos!Q12),Datos!Q12," - ")</f>
        <v>378</v>
      </c>
      <c r="D12" s="456">
        <f>IF(ISNUMBER(Datos!R12),Datos!R12," - ")</f>
        <v>1360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344</v>
      </c>
      <c r="C14" s="1150">
        <f>SUBTOTAL(9,C9:C13)</f>
        <v>381</v>
      </c>
      <c r="D14" s="1148">
        <f>SUBTOTAL(9,D9:D13)</f>
        <v>1387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53</v>
      </c>
      <c r="C17" s="489">
        <f>IF(ISNUMBER(Datos!Q17),Datos!Q17," - ")</f>
        <v>52</v>
      </c>
      <c r="D17" s="456">
        <f>IF(ISNUMBER(Datos!R17),Datos!R17," - ")</f>
        <v>81</v>
      </c>
    </row>
    <row r="18" spans="1:4">
      <c r="A18" s="450" t="str">
        <f>Datos!A18</f>
        <v>Jdos. Violencia contra la mujer</v>
      </c>
      <c r="B18" s="488">
        <f>IF(ISNUMBER(Datos!P18),Datos!P18," - ")</f>
        <v>2</v>
      </c>
      <c r="C18" s="489">
        <f>IF(ISNUMBER(Datos!Q18),Datos!Q18," - ")</f>
        <v>0</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55</v>
      </c>
      <c r="C23" s="1150">
        <f>SUBTOTAL(9,C16:C22)</f>
        <v>52</v>
      </c>
      <c r="D23" s="1148">
        <f>SUBTOTAL(9,D16:D22)</f>
        <v>83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399</v>
      </c>
      <c r="C31" s="1089">
        <f>SUBTOTAL(9,C8:C30)</f>
        <v>433</v>
      </c>
      <c r="D31" s="1090">
        <f>SUBTOTAL(9,D8:D30)</f>
        <v>1470</v>
      </c>
    </row>
    <row r="32" spans="1:4" ht="7.5" customHeight="1"/>
    <row r="33" spans="1:1" ht="6" customHeight="1"/>
    <row r="34" spans="1:1">
      <c r="A34" s="439" t="str">
        <f>Criterios!A4</f>
        <v>Fecha Informe: 15 abr. 2023</v>
      </c>
    </row>
    <row r="39" spans="1:1">
      <c r="A39" s="462"/>
    </row>
  </sheetData>
  <sheetProtection algorithmName="SHA-512" hashValue="0S5QE10nFZQo7o7gRHkOMwyaSh5Rqn19SrX1Nkj3d15Nv4HY3ypPmUFpT69C8DzBhI/k96b6AHkA38oZVBws4w==" saltValue="m+5cLQJnT/q6GzZkUX5FU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NAVARRA</v>
      </c>
    </row>
    <row r="3" spans="1:11" ht="18.75" customHeight="1">
      <c r="A3" s="484" t="s">
        <v>162</v>
      </c>
      <c r="B3" s="439" t="str">
        <f>Criterios!A10 &amp;"  "&amp;Criterios!B10</f>
        <v>Provincias  NAVARRA</v>
      </c>
    </row>
    <row r="4" spans="1:11" ht="10.5" customHeight="1" thickBot="1">
      <c r="B4" s="439" t="str">
        <f>Criterios!A11 &amp;"  "&amp;Criterios!B11</f>
        <v>Resumenes por Partidos Judiciales  AOIZ-AGOITZ</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0.36363636363636365</v>
      </c>
      <c r="C10" s="515">
        <f>IF(ISNUMBER((Datos!J10-Datos!T10)/Datos!T10),(Datos!J10-Datos!T10)/Datos!T10," - ")</f>
        <v>-3.0303030303030304E-2</v>
      </c>
      <c r="D10" s="515">
        <f>IF(ISNUMBER((Datos!K10-Datos!U10)/Datos!U10),(Datos!K10-Datos!U10)/Datos!U10," - ")</f>
        <v>-3.4482758620689655E-2</v>
      </c>
      <c r="E10" s="515">
        <f>IF(ISNUMBER((Datos!L10-Datos!V10)/Datos!V10),(Datos!L10-Datos!V10)/Datos!V10," - ")</f>
        <v>0.26666666666666666</v>
      </c>
      <c r="F10" s="515">
        <f>IF(ISNUMBER((Datos!M10-Datos!W10)/Datos!W10),(Datos!M10-Datos!W10)/Datos!W10," - ")</f>
        <v>0</v>
      </c>
      <c r="G10" s="516">
        <f>IF(ISNUMBER((Datos!N10-Datos!X10)/Datos!X10),(Datos!N10-Datos!X10)/Datos!X10," - ")</f>
        <v>-0.33333333333333331</v>
      </c>
      <c r="H10" s="514">
        <f>IF(ISNUMBER(((NºAsuntos!G10/NºAsuntos!E10)-Datos!BD10)/Datos!BD10),((NºAsuntos!G10/NºAsuntos!E10)-Datos!BD10)/Datos!BD10," - ")</f>
        <v>-4.3103448275862034E-3</v>
      </c>
      <c r="I10" s="515">
        <f>IF(ISNUMBER(((NºAsuntos!I10/NºAsuntos!G10)-Datos!BE10)/Datos!BE10),((NºAsuntos!I10/NºAsuntos!G10)-Datos!BE10)/Datos!BE10," - ")</f>
        <v>0.31190476190476185</v>
      </c>
      <c r="J10" s="521">
        <f>IF(ISNUMBER((('Resol  Asuntos'!D10/NºAsuntos!G10)-Datos!BF10)/Datos!BF10),(('Resol  Asuntos'!D10/NºAsuntos!G10)-Datos!BF10)/Datos!BF10," - ")</f>
        <v>3.5714285714285671E-2</v>
      </c>
      <c r="K10" s="522">
        <f>IF(ISNUMBER((((NºAsuntos!C10+NºAsuntos!E10)/NºAsuntos!G10)-Datos!BG10)/Datos!BG10),(((NºAsuntos!C10+NºAsuntos!E10)/NºAsuntos!G10)-Datos!BG10)/Datos!BG10," - ")</f>
        <v>0.1063311688311689</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8.6142322097378279E-2</v>
      </c>
      <c r="C12" s="515">
        <f>IF(ISNUMBER(
   IF(J_V="SI",(Datos!J12-Datos!T12)/Datos!T12,(Datos!J12+Datos!Z12-(Datos!T12+Datos!AH12))/(Datos!T12+Datos!AH12))
     ),IF(J_V="SI",(Datos!J12-Datos!T12)/Datos!T12,(Datos!J12+Datos!Z12-(Datos!T12+Datos!AH12))/(Datos!T12+Datos!AH12))," - ")</f>
        <v>1.7561983471074381E-2</v>
      </c>
      <c r="D12" s="515">
        <f>IF(ISNUMBER(
   IF(J_V="SI",(Datos!K12-Datos!U12)/Datos!U12,(Datos!K12+Datos!AA12-(Datos!U12+Datos!AI12))/(Datos!U12+Datos!AI12))
     ),IF(J_V="SI",(Datos!K12-Datos!U12)/Datos!U12,(Datos!K12+Datos!AA12-(Datos!U12+Datos!AI12))/(Datos!U12+Datos!AI12))," - ")</f>
        <v>-6.2433862433862432E-2</v>
      </c>
      <c r="E12" s="515">
        <f>IF(ISNUMBER(
   IF(J_V="SI",(Datos!L12-Datos!V12)/Datos!V12,(Datos!L12+Datos!AB12-(Datos!V12+Datos!AJ12))/(Datos!V12+Datos!AJ12))
     ),IF(J_V="SI",(Datos!L12-Datos!V12)/Datos!V12,(Datos!L12+Datos!AB12-(Datos!V12+Datos!AJ12))/(Datos!V12+Datos!AJ12))," - ")</f>
        <v>0.30689655172413793</v>
      </c>
      <c r="F12" s="515">
        <f>IF(ISNUMBER((Datos!M12-Datos!W12)/Datos!W12),(Datos!M12-Datos!W12)/Datos!W12," - ")</f>
        <v>-0.2230347349177331</v>
      </c>
      <c r="G12" s="516">
        <f>IF(ISNUMBER((Datos!N12-Datos!X12)/Datos!X12),(Datos!N12-Datos!X12)/Datos!X12," - ")</f>
        <v>-6.1475409836065573E-2</v>
      </c>
      <c r="H12" s="514">
        <f>IF(ISNUMBER(((NºAsuntos!G12/NºAsuntos!E12)-Datos!BD12)/Datos!BD12),((NºAsuntos!G12/NºAsuntos!E12)-Datos!BD12)/Datos!BD12," - ")</f>
        <v>-7.8615206940080104E-2</v>
      </c>
      <c r="I12" s="515">
        <f>IF(ISNUMBER(((NºAsuntos!I12/NºAsuntos!G12)-Datos!BE12)/Datos!BE12),((NºAsuntos!I12/NºAsuntos!G12)-Datos!BE12)/Datos!BE12," - ")</f>
        <v>0.39392465166965063</v>
      </c>
      <c r="J12" s="521">
        <f>IF(ISNUMBER((('Resol  Asuntos'!D12/NºAsuntos!G12)-Datos!BF12)/Datos!BF12),(('Resol  Asuntos'!D12/NºAsuntos!G12)-Datos!BF12)/Datos!BF12," - ")</f>
        <v>-0.38073585464234172</v>
      </c>
      <c r="K12" s="522">
        <f>IF(ISNUMBER((((NºAsuntos!C12+NºAsuntos!E12)/NºAsuntos!G12)-Datos!BG12)/Datos!BG12),(((NºAsuntos!C12+NºAsuntos!E12)/NºAsuntos!G12)-Datos!BG12)/Datos!BG12," - ")</f>
        <v>0.10113689328373889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9.1743119266055051E-2</v>
      </c>
      <c r="C14" s="1152">
        <f>IF(ISNUMBER(
   IF(J_V="SI",(Datos!J14-Datos!T14)/Datos!T14,(Datos!J14+Datos!Z14-(Datos!T14+Datos!AH14))/(Datos!T14+Datos!AH14))
     ),IF(J_V="SI",(Datos!J14-Datos!T14)/Datos!T14,(Datos!J14+Datos!Z14-(Datos!T14+Datos!AH14))/(Datos!T14+Datos!AH14))," - ")</f>
        <v>1.6759776536312849E-2</v>
      </c>
      <c r="D14" s="1152">
        <f>IF(ISNUMBER(
   IF(J_V="SI",(Datos!K14-Datos!U14)/Datos!U14,(Datos!K14+Datos!AA14-(Datos!U14+Datos!AI14))/(Datos!U14+Datos!AI14))
     ),IF(J_V="SI",(Datos!K14-Datos!U14)/Datos!U14,(Datos!K14+Datos!AA14-(Datos!U14+Datos!AI14))/(Datos!U14+Datos!AI14))," - ")</f>
        <v>-6.2011464304325171E-2</v>
      </c>
      <c r="E14" s="1152">
        <f>IF(ISNUMBER(
   IF(J_V="SI",(Datos!L14-Datos!V14)/Datos!V14,(Datos!L14+Datos!AB14-(Datos!V14+Datos!AJ14))/(Datos!V14+Datos!AJ14))
     ),IF(J_V="SI",(Datos!L14-Datos!V14)/Datos!V14,(Datos!L14+Datos!AB14-(Datos!V14+Datos!AJ14))/(Datos!V14+Datos!AJ14))," - ")</f>
        <v>0.30588235294117649</v>
      </c>
      <c r="F14" s="1153">
        <f>IF(ISNUMBER((Datos!M14-Datos!W14)/Datos!W14),(Datos!M14-Datos!W14)/Datos!W14," - ")</f>
        <v>-0.21903052064631956</v>
      </c>
      <c r="G14" s="1154">
        <f>IF(ISNUMBER((Datos!N14-Datos!X14)/Datos!X14),(Datos!N14-Datos!X14)/Datos!X14," - ")</f>
        <v>-6.5860215053763438E-2</v>
      </c>
      <c r="H14" s="1154">
        <f>IF(ISNUMBER(((NºAsuntos!G14/NºAsuntos!E14)-Datos!BD14)/Datos!BD14),((NºAsuntos!G14/NºAsuntos!E14)-Datos!BD14)/Datos!BD14," - ")</f>
        <v>-7.7472813793814335E-2</v>
      </c>
      <c r="I14" s="1154">
        <f>IF(ISNUMBER(((NºAsuntos!I14/NºAsuntos!G14)-Datos!BE14)/Datos!BE14),((NºAsuntos!I14/NºAsuntos!G14)-Datos!BE14)/Datos!BE14," - ")</f>
        <v>0.3922156862745097</v>
      </c>
      <c r="J14" s="1154">
        <f>IF(ISNUMBER((('Resol  Asuntos'!D14/NºAsuntos!G14)-Datos!BF14)/Datos!BF14),(('Resol  Asuntos'!D14/NºAsuntos!G14)-Datos!BF14)/Datos!BF14," - ")</f>
        <v>-0.37498876909254264</v>
      </c>
      <c r="K14" s="1154">
        <f>IF(ISNUMBER((((NºAsuntos!C14+NºAsuntos!E14)/NºAsuntos!G14)-Datos!BG14)/Datos!BG14),(((NºAsuntos!C14+NºAsuntos!E14)/NºAsuntos!G14)-Datos!BG14)/Datos!BG14," - ")</f>
        <v>0.10130889242464421</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-6.6176470588235295E-2</v>
      </c>
      <c r="C17" s="515">
        <f>IF(ISNUMBER(
   IF(D_I="SI",(Datos!J17-Datos!T17)/Datos!T17,(Datos!J17+Datos!AD17-(Datos!T17+Datos!AL17))/(Datos!T17+Datos!AL17))
     ),IF(D_I="SI",(Datos!J17-Datos!T17)/Datos!T17,(Datos!J17+Datos!AD17-(Datos!T17+Datos!AL17))/(Datos!T17+Datos!AL17))," - ")</f>
        <v>0.48660714285714285</v>
      </c>
      <c r="D17" s="515">
        <f>IF(ISNUMBER(
   IF(D_I="SI",(Datos!K17-Datos!U17)/Datos!U17,(Datos!K17+Datos!AE17-(Datos!U17+Datos!AM17))/(Datos!U17+Datos!AM17))
     ),IF(D_I="SI",(Datos!K17-Datos!U17)/Datos!U17,(Datos!K17+Datos!AE17-(Datos!U17+Datos!AM17))/(Datos!U17+Datos!AM17))," - ")</f>
        <v>0.29194630872483224</v>
      </c>
      <c r="E17" s="515">
        <f>IF(ISNUMBER(
   IF(D_I="SI",(Datos!L17-Datos!V17)/Datos!V17,(Datos!L17+Datos!AF17-(Datos!V17+Datos!AN17))/(Datos!V17+Datos!AN17))
     ),IF(D_I="SI",(Datos!L17-Datos!V17)/Datos!V17,(Datos!L17+Datos!AF17-(Datos!V17+Datos!AN17))/(Datos!V17+Datos!AN17))," - ")</f>
        <v>0.42782152230971127</v>
      </c>
      <c r="F17" s="515">
        <f>IF(ISNUMBER((Datos!M17-Datos!W17)/Datos!W17),(Datos!M17-Datos!W17)/Datos!W17," - ")</f>
        <v>0.27722772277227725</v>
      </c>
      <c r="G17" s="516">
        <f>IF(ISNUMBER((Datos!N17-Datos!X17)/Datos!X17),(Datos!N17-Datos!X17)/Datos!X17," - ")</f>
        <v>0.21745152354570638</v>
      </c>
      <c r="H17" s="514">
        <f>IF(ISNUMBER(((NºAsuntos!G17/NºAsuntos!E17)-Datos!BD17)/Datos!BD17),((NºAsuntos!G17/NºAsuntos!E17)-Datos!BD17)/Datos!BD17," - ")</f>
        <v>-0.13094302356047319</v>
      </c>
      <c r="I17" s="515">
        <f>IF(ISNUMBER(((NºAsuntos!I17/NºAsuntos!G17)-Datos!BE17)/Datos!BE17),((NºAsuntos!I17/NºAsuntos!G17)-Datos!BE17)/Datos!BE17," - ")</f>
        <v>0.10517094454102331</v>
      </c>
      <c r="J17" s="521">
        <f>IF(ISNUMBER((('Resol  Asuntos'!D17/NºAsuntos!G17)-Datos!BF17)/Datos!BF17),(('Resol  Asuntos'!D17/NºAsuntos!G17)-Datos!BF17)/Datos!BF17," - ")</f>
        <v>-1.1392567828211421E-2</v>
      </c>
      <c r="K17" s="522">
        <f>IF(ISNUMBER((((NºAsuntos!C17+NºAsuntos!E17)/NºAsuntos!G17)-Datos!BG17)/Datos!BG17),(((NºAsuntos!C17+NºAsuntos!E17)/NºAsuntos!G17)-Datos!BG17)/Datos!BG17," - ")</f>
        <v>3.6424831712789756E-2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-0.4513888888888889</v>
      </c>
      <c r="C18" s="515">
        <f>IF(ISNUMBER(
   IF(D_I="SI",(Datos!J18-Datos!T18)/Datos!T18,(Datos!J18+Datos!AD18-(Datos!T18+Datos!AL18))/(Datos!T18+Datos!AL18))
     ),IF(D_I="SI",(Datos!J18-Datos!T18)/Datos!T18,(Datos!J18+Datos!AD18-(Datos!T18+Datos!AL18))/(Datos!T18+Datos!AL18))," - ")</f>
        <v>0.25</v>
      </c>
      <c r="D18" s="515">
        <f>IF(ISNUMBER(
   IF(D_I="SI",(Datos!K18-Datos!U18)/Datos!U18,(Datos!K18+Datos!AE18-(Datos!U18+Datos!AM18))/(Datos!U18+Datos!AM18))
     ),IF(D_I="SI",(Datos!K18-Datos!U18)/Datos!U18,(Datos!K18+Datos!AE18-(Datos!U18+Datos!AM18))/(Datos!U18+Datos!AM18))," - ")</f>
        <v>-0.22943722943722944</v>
      </c>
      <c r="E18" s="515">
        <f>IF(ISNUMBER(
   IF(D_I="SI",(Datos!L18-Datos!V18)/Datos!V18,(Datos!L18+Datos!AF18-(Datos!V18+Datos!AN18))/(Datos!V18+Datos!AN18))
     ),IF(D_I="SI",(Datos!L18-Datos!V18)/Datos!V18,(Datos!L18+Datos!AF18-(Datos!V18+Datos!AN18))/(Datos!V18+Datos!AN18))," - ")</f>
        <v>0.36708860759493672</v>
      </c>
      <c r="F18" s="515">
        <f>IF(ISNUMBER((Datos!M18-Datos!W18)/Datos!W18),(Datos!M18-Datos!W18)/Datos!W18," - ")</f>
        <v>0</v>
      </c>
      <c r="G18" s="516">
        <f>IF(ISNUMBER((Datos!N18-Datos!X18)/Datos!X18),(Datos!N18-Datos!X18)/Datos!X18," - ")</f>
        <v>-0.4642857142857143</v>
      </c>
      <c r="H18" s="514">
        <f>IF(ISNUMBER(((NºAsuntos!G18/NºAsuntos!E18)-Datos!BD18)/Datos!BD18),((NºAsuntos!G18/NºAsuntos!E18)-Datos!BD18)/Datos!BD18," - ")</f>
        <v>-0.38354978354978359</v>
      </c>
      <c r="I18" s="515">
        <f>IF(ISNUMBER(((NºAsuntos!I18/NºAsuntos!G18)-Datos!BE18)/Datos!BE18),((NºAsuntos!I18/NºAsuntos!G18)-Datos!BE18)/Datos!BE18," - ")</f>
        <v>0.7741430806428673</v>
      </c>
      <c r="J18" s="521">
        <f>IF(ISNUMBER((('Resol  Asuntos'!D18/NºAsuntos!G18)-Datos!BF18)/Datos!BF18),(('Resol  Asuntos'!D18/NºAsuntos!G18)-Datos!BF18)/Datos!BF18," - ")</f>
        <v>0.29775280898876411</v>
      </c>
      <c r="K18" s="522">
        <f>IF(ISNUMBER((((NºAsuntos!C18+NºAsuntos!E18)/NºAsuntos!G18)-Datos!BG18)/Datos!BG18),(((NºAsuntos!C18+NºAsuntos!E18)/NºAsuntos!G18)-Datos!BG18)/Datos!BG18," - ")</f>
        <v>0.1852808988764045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-0.16666666666666666</v>
      </c>
      <c r="C23" s="1152">
        <f>IF(ISNUMBER(
   IF(Criterios!B14="SI",(Datos!J23-Datos!T23)/Datos!T23,(Datos!J23+Datos!AD23-(Datos!T23+Datos!AL23))/(Datos!T23+Datos!AL23))
     ),IF(Criterios!B14="SI",(Datos!J23-Datos!T23)/Datos!T23,(Datos!J23+Datos!AD23-(Datos!T23+Datos!AL23))/(Datos!T23+Datos!AL23))," - ")</f>
        <v>0.45768025078369906</v>
      </c>
      <c r="D23" s="1152">
        <f>IF(ISNUMBER(
   IF(Criterios!B14="SI",(Datos!K23-Datos!U23)/Datos!U23,(Datos!K23+Datos!AE23-(Datos!U23+Datos!AM23))/(Datos!U23+Datos!AM23))
     ),IF(Criterios!B14="SI",(Datos!K23-Datos!U23)/Datos!U23,(Datos!K23+Datos!AE23-(Datos!U23+Datos!AM23))/(Datos!U23+Datos!AM23))," - ")</f>
        <v>0.2073085031623331</v>
      </c>
      <c r="E23" s="1152">
        <f>IF(ISNUMBER(
   IF(Criterios!B14="SI",(Datos!L23-Datos!V23)/Datos!V23,(Datos!L23+Datos!AF23-(Datos!V23+Datos!AN23))/(Datos!V23+Datos!AN23))
     ),IF(Criterios!B14="SI",(Datos!L23-Datos!V23)/Datos!V23,(Datos!L23+Datos!AF23-(Datos!V23+Datos!AN23))/(Datos!V23+Datos!AN23))," - ")</f>
        <v>0.41739130434782606</v>
      </c>
      <c r="F23" s="1153">
        <f>IF(ISNUMBER((Datos!M23-Datos!W23)/Datos!W23),(Datos!M23-Datos!W23)/Datos!W23," - ")</f>
        <v>0.26291079812206575</v>
      </c>
      <c r="G23" s="1154">
        <f>IF(ISNUMBER((Datos!N23-Datos!X23)/Datos!X23),(Datos!N23-Datos!X23)/Datos!X23," - ")</f>
        <v>8.8764044943820231E-2</v>
      </c>
      <c r="H23" s="1154">
        <f>IF(ISNUMBER(((NºAsuntos!G23/NºAsuntos!E23)-Datos!BD23)/Datos!BD23),((NºAsuntos!G23/NºAsuntos!E23)-Datos!BD23)/Datos!BD23," - ")</f>
        <v>-0.17176040320691557</v>
      </c>
      <c r="I23" s="1154">
        <f>IF(ISNUMBER(((NºAsuntos!I23/NºAsuntos!G23)-Datos!BE23)/Datos!BE23),((NºAsuntos!I23/NºAsuntos!G23)-Datos!BE23)/Datos!BE23," - ")</f>
        <v>0.17400921192488739</v>
      </c>
      <c r="J23" s="1154">
        <f>IF(ISNUMBER((('Resol  Asuntos'!D23/NºAsuntos!G23)-Datos!BF23)/Datos!BF23),(('Resol  Asuntos'!D23/NºAsuntos!G23)-Datos!BF23)/Datos!BF23," - ")</f>
        <v>4.6054753042898321E-2</v>
      </c>
      <c r="K23" s="1154">
        <f>IF(ISNUMBER((((NºAsuntos!C23+NºAsuntos!E23)/NºAsuntos!G23)-Datos!BG23)/Datos!BG23),(((NºAsuntos!C23+NºAsuntos!E23)/NºAsuntos!G23)-Datos!BG23)/Datos!BG23," - ")</f>
        <v>5.1219804209770153E-2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-3.8286235186873289E-2</v>
      </c>
      <c r="C31" s="1092">
        <f>IF(ISNUMBER(
   IF(J_V="SI",(Datos!J31-Datos!T31)/Datos!T31,(Datos!J31+Datos!Z31-(Datos!T31+Datos!AH31))/(Datos!T31+Datos!AH31))
     ),IF(J_V="SI",(Datos!J31-Datos!T31)/Datos!T31,(Datos!J31+Datos!Z31-(Datos!T31+Datos!AH31))/(Datos!T31+Datos!AH31))," - ")</f>
        <v>0.19013867488443759</v>
      </c>
      <c r="D31" s="1092">
        <f>IF(ISNUMBER(
   IF(J_V="SI",(Datos!K31-Datos!U31)/Datos!U31,(Datos!K31+Datos!AA31-(Datos!U31+Datos!AI31))/(Datos!U31+Datos!AI31))
     ),IF(J_V="SI",(Datos!K31-Datos!U31)/Datos!U31,(Datos!K31+Datos!AA31-(Datos!U31+Datos!AI31))/(Datos!U31+Datos!AI31))," - ")</f>
        <v>5.2663076002393776E-2</v>
      </c>
      <c r="E31" s="1092">
        <f>IF(ISNUMBER(
   IF(J_V="SI",(Datos!L31-Datos!V31)/Datos!V31,(Datos!L31+Datos!AB31-(Datos!V31+Datos!AJ31))/(Datos!V31+Datos!AJ31))
     ),IF(J_V="SI",(Datos!L31-Datos!V31)/Datos!V31,(Datos!L31+Datos!AB31-(Datos!V31+Datos!AJ31))/(Datos!V31+Datos!AJ31))," - ")</f>
        <v>0.35450236966824644</v>
      </c>
      <c r="F31" s="1093">
        <f>IF(ISNUMBER((Datos!M31-Datos!W31)/Datos!W31),(Datos!M31-Datos!W31)/Datos!W31," - ")</f>
        <v>-8.5714285714285715E-2</v>
      </c>
      <c r="G31" s="1094">
        <f>IF(ISNUMBER((Datos!N31-Datos!X31)/Datos!X31),(Datos!N31-Datos!X31)/Datos!X31," - ")</f>
        <v>1.8359853121175031E-2</v>
      </c>
      <c r="H31" s="1095">
        <f>IF(ISNUMBER((Tasas!B31-Datos!BD31)/Datos!BD31),(Tasas!B31-Datos!BD31)/Datos!BD31," - ")</f>
        <v>-0.11551225229731546</v>
      </c>
      <c r="I31" s="1096">
        <f>IF(ISNUMBER((Tasas!C31-Datos!BE31)/Datos!BE31),(Tasas!C31-Datos!BE31)/Datos!BE31," - ")</f>
        <v>0.2867387491277088</v>
      </c>
      <c r="J31" s="1097">
        <f>IF(ISNUMBER((Tasas!D31-Datos!BF31)/Datos!BF31),(Tasas!D31-Datos!BF31)/Datos!BF31," - ")</f>
        <v>-0.29970681818858286</v>
      </c>
      <c r="K31" s="1097">
        <f>IF(ISNUMBER((Tasas!E31-Datos!BG31)/Datos!BG31),(Tasas!E31-Datos!BG31)/Datos!BG31," - ")</f>
        <v>7.5773890623441045E-2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15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eVo/U9NTTIJdqa6PrvjclTcwTrgSMFoB80q6fg2vwGqyySOQVt03wF2z5nrStXi53Up1UVsT8n3nMrvNtJnSfw==" saltValue="jxeHfsoL0tGXPAC7o+GdQ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NAVARRA</v>
      </c>
    </row>
    <row r="3" spans="1:7" ht="19.5">
      <c r="A3" s="491" t="s">
        <v>17</v>
      </c>
      <c r="B3" s="439" t="str">
        <f>Criterios!A10 &amp;"  "&amp;Criterios!B10</f>
        <v>Provincias  NAVARRA</v>
      </c>
    </row>
    <row r="4" spans="1:7" ht="11.25" customHeight="1" thickBot="1">
      <c r="B4" s="439" t="str">
        <f>Criterios!A11 &amp;"  "&amp;Criterios!B11</f>
        <v>Resumenes por Partidos Judiciales  AOIZ-AGOITZ</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0.875</v>
      </c>
      <c r="C10" s="498">
        <f>IF(ISNUMBER(NºAsuntos!I10/NºAsuntos!G10),NºAsuntos!I10/NºAsuntos!G10," - ")</f>
        <v>0.6785714285714286</v>
      </c>
      <c r="D10" s="499">
        <f>IF(ISNUMBER('Resol  Asuntos'!D10/NºAsuntos!G10),'Resol  Asuntos'!D10/NºAsuntos!G10," - ")</f>
        <v>0.35714285714285715</v>
      </c>
      <c r="E10" s="500">
        <f>IF(ISNUMBER((NºAsuntos!C10+NºAsuntos!E10)/NºAsuntos!G10),(NºAsuntos!C10+NºAsuntos!E10)/NºAsuntos!G10," - ")</f>
        <v>1.6785714285714286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0.89949238578680202</v>
      </c>
      <c r="C12" s="498">
        <f>IF(ISNUMBER(NºAsuntos!I12/NºAsuntos!G12),NºAsuntos!I12/NºAsuntos!G12," - ")</f>
        <v>0.42776523702031605</v>
      </c>
      <c r="D12" s="499">
        <f>IF(ISNUMBER('Resol  Asuntos'!D12/NºAsuntos!G12),'Resol  Asuntos'!D12/NºAsuntos!G12," - ")</f>
        <v>0.23984198645598195</v>
      </c>
      <c r="E12" s="500">
        <f>IF(ISNUMBER((NºAsuntos!C12+NºAsuntos!E12)/NºAsuntos!G12),(NºAsuntos!C12+NºAsuntos!E12)/NºAsuntos!G12," - ")</f>
        <v>1.4390519187358917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0.89910089910089908</v>
      </c>
      <c r="C14" s="1156">
        <f>IF(ISNUMBER(NºAsuntos!I14/NºAsuntos!G14),NºAsuntos!I14/NºAsuntos!G14," - ")</f>
        <v>0.43166666666666664</v>
      </c>
      <c r="D14" s="1157">
        <f>IF(ISNUMBER('Resol  Asuntos'!D14/NºAsuntos!G14),'Resol  Asuntos'!D14/NºAsuntos!G14," - ")</f>
        <v>0.24166666666666667</v>
      </c>
      <c r="E14" s="1158">
        <f>IF(ISNUMBER((NºAsuntos!C14+NºAsuntos!E14)/NºAsuntos!G14),(NºAsuntos!C14+NºAsuntos!E14)/NºAsuntos!G14," - ")</f>
        <v>1.4427777777777777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0.92492492492492495</v>
      </c>
      <c r="C17" s="498">
        <f>IF(ISNUMBER(NºAsuntos!I17/NºAsuntos!G17),NºAsuntos!I17/NºAsuntos!G17," - ")</f>
        <v>0.35324675324675325</v>
      </c>
      <c r="D17" s="499">
        <f>IF(ISNUMBER('Resol  Asuntos'!D17/NºAsuntos!G17),'Resol  Asuntos'!D17/NºAsuntos!G17," - ")</f>
        <v>0.16753246753246753</v>
      </c>
      <c r="E17" s="500">
        <f>IF(ISNUMBER((NºAsuntos!C17+NºAsuntos!E17)/NºAsuntos!G17),(NºAsuntos!C17+NºAsuntos!E17)/NºAsuntos!G17," - ")</f>
        <v>1.3285714285714285</v>
      </c>
      <c r="G17" s="523"/>
    </row>
    <row r="18" spans="1:7">
      <c r="A18" s="450" t="str">
        <f>Datos!A18</f>
        <v>Jdos. Violencia contra la mujer</v>
      </c>
      <c r="B18" s="497">
        <f>IF(ISNUMBER(NºAsuntos!G18/NºAsuntos!E18),NºAsuntos!G18/NºAsuntos!E18," - ")</f>
        <v>0.9128205128205128</v>
      </c>
      <c r="C18" s="498">
        <f>IF(ISNUMBER(NºAsuntos!I18/NºAsuntos!G18),NºAsuntos!I18/NºAsuntos!G18," - ")</f>
        <v>0.6067415730337079</v>
      </c>
      <c r="D18" s="499">
        <f>IF(ISNUMBER('Resol  Asuntos'!D18/NºAsuntos!G18),'Resol  Asuntos'!D18/NºAsuntos!G18," - ")</f>
        <v>6.1797752808988762E-2</v>
      </c>
      <c r="E18" s="500">
        <f>IF(ISNUMBER((NºAsuntos!C18+NºAsuntos!E18)/NºAsuntos!G18),(NºAsuntos!C18+NºAsuntos!E18)/NºAsuntos!G18," - ")</f>
        <v>1.5393258426966292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0.92365591397849467</v>
      </c>
      <c r="C23" s="1156">
        <f>IF(ISNUMBER(NºAsuntos!I23/NºAsuntos!G23),NºAsuntos!I23/NºAsuntos!G23," - ")</f>
        <v>0.37951105937136204</v>
      </c>
      <c r="D23" s="1159">
        <f>IF(ISNUMBER('Resol  Asuntos'!D23/NºAsuntos!G23),'Resol  Asuntos'!D23/NºAsuntos!G23," - ")</f>
        <v>0.15657741559953434</v>
      </c>
      <c r="E23" s="1158">
        <f>IF(ISNUMBER((NºAsuntos!C23+NºAsuntos!E23)/NºAsuntos!G23),(NºAsuntos!C23+NºAsuntos!E23)/NºAsuntos!G23," - ")</f>
        <v>1.350407450523865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0.91092698083894352</v>
      </c>
      <c r="C31" s="1099">
        <f>IF(ISNUMBER(NºAsuntos!I31/NºAsuntos!G31),NºAsuntos!I31/NºAsuntos!G31," - ")</f>
        <v>0.40619670267197272</v>
      </c>
      <c r="D31" s="1100">
        <f>IF(ISNUMBER('Resol  Asuntos'!D31/NºAsuntos!G31),'Resol  Asuntos'!D31/NºAsuntos!G31," - ")</f>
        <v>0.20011370096645822</v>
      </c>
      <c r="E31" s="1101">
        <f>IF(ISNUMBER((NºAsuntos!C31+NºAsuntos!E31)/NºAsuntos!G31),(NºAsuntos!C31+NºAsuntos!E31)/NºAsuntos!G31," - ")</f>
        <v>1.3976691301876065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15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cuLqbmhw8l3aOBXI3ohvUJMbQDZmpLn1oh7GEe/UvcTdv4QechY8IE3zalK5HSDTndMw2g+OkTQWPlrocyU8Mg==" saltValue="0yhXVQoDdXcA7+0RAOAnL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NAVARRA</v>
      </c>
      <c r="G2" s="369"/>
      <c r="H2" s="368"/>
      <c r="I2" s="368"/>
      <c r="J2" s="368"/>
      <c r="K2" s="368"/>
      <c r="L2" s="368" t="str">
        <f>Criterios!A10 &amp;"  "&amp;Criterios!B10</f>
        <v>Provincias  NAVARRA</v>
      </c>
      <c r="N2" s="368" t="str">
        <f>Criterios!A11 &amp;"  "&amp;Criterios!B11</f>
        <v>Resumenes por Partidos Judiciales  AOIZ-AGOITZ</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15</v>
      </c>
      <c r="G10" s="373">
        <f>IF(ISNUMBER(Datos!I10),Datos!I10," - ")</f>
        <v>15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8</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28</v>
      </c>
      <c r="X10" s="240">
        <f>IF(ISNUMBER(Datos!Q10),Datos!Q10," - ")</f>
        <v>3</v>
      </c>
      <c r="Y10" s="374">
        <f t="shared" ref="Y10:Y13" si="0">SUM(W10:X10)</f>
        <v>31</v>
      </c>
      <c r="Z10" s="375" t="str">
        <f>IF(ISNUMBER(Datos!CC10),Datos!CC10," - ")</f>
        <v xml:space="preserve"> - </v>
      </c>
      <c r="AA10" s="372">
        <f>IF(ISNUMBER(Datos!L10),Datos!L10,"-")</f>
        <v>19</v>
      </c>
      <c r="AB10" s="374">
        <f>IF(ISNUMBER(Datos!R10),Datos!R10," - ")</f>
        <v>27</v>
      </c>
      <c r="AC10" s="374">
        <f t="shared" ref="AC10:AC13" si="1">IF(ISNUMBER(AA10+AB10),AA10+AB10," - ")</f>
        <v>46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10</v>
      </c>
      <c r="AJ10" s="245" t="str">
        <f>IF(ISNUMBER(Datos!BW10),Datos!BW10," - ")</f>
        <v xml:space="preserve"> - </v>
      </c>
      <c r="AK10" s="246" t="str">
        <f>IF(ISNUMBER(Datos!BX10),Datos!BX10," - ")</f>
        <v xml:space="preserve"> - </v>
      </c>
      <c r="AL10" s="266">
        <f>IF(ISNUMBER(NºAsuntos!G10/NºAsuntos!E10),NºAsuntos!G10/NºAsuntos!E10," - ")</f>
        <v>0.875</v>
      </c>
      <c r="AM10" s="284">
        <f>IF(ISNUMBER(((NºAsuntos!I10/NºAsuntos!G10)*11)/factor_trimestre),((NºAsuntos!I10/NºAsuntos!G10)*11)/factor_trimestre," - ")</f>
        <v>7.4642857142857144</v>
      </c>
      <c r="AN10" s="267">
        <f>IF(ISNUMBER('Resol  Asuntos'!D10/NºAsuntos!G10),'Resol  Asuntos'!D10/NºAsuntos!G10," - ")</f>
        <v>0.35714285714285715</v>
      </c>
      <c r="AO10" s="268">
        <f>IF(ISNUMBER((NºAsuntos!C10+NºAsuntos!E10)/NºAsuntos!G10),(NºAsuntos!C10+NºAsuntos!E10)/NºAsuntos!G10," - ")</f>
        <v>1.6785714285714286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336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378</v>
      </c>
      <c r="Y12" s="374">
        <f t="shared" si="0"/>
        <v>378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1360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425</v>
      </c>
      <c r="AJ12" s="243" t="str">
        <f>IF(ISNUMBER(Datos!BW12),Datos!BW12," - ")</f>
        <v xml:space="preserve"> - </v>
      </c>
      <c r="AK12" s="242" t="str">
        <f>IF(ISNUMBER(Datos!BX12),Datos!BX12," - ")</f>
        <v xml:space="preserve"> - </v>
      </c>
      <c r="AL12" s="266">
        <f>IF(ISNUMBER(NºAsuntos!G12/NºAsuntos!E12),NºAsuntos!G12/NºAsuntos!E12," - ")</f>
        <v>0.89949238578680202</v>
      </c>
      <c r="AM12" s="284">
        <f>IF(ISNUMBER(((NºAsuntos!I12/NºAsuntos!G12)*11)/factor_trimestre),((NºAsuntos!I12/NºAsuntos!G12)*11)/factor_trimestre," - ")</f>
        <v>4.7054176072234766</v>
      </c>
      <c r="AN12" s="267">
        <f>IF(ISNUMBER('Resol  Asuntos'!D12/NºAsuntos!G12),'Resol  Asuntos'!D12/NºAsuntos!G12," - ")</f>
        <v>0.23984198645598195</v>
      </c>
      <c r="AO12" s="268">
        <f>IF(ISNUMBER((NºAsuntos!C12+NºAsuntos!E12)/NºAsuntos!G12),(NºAsuntos!C12+NºAsuntos!E12)/NºAsuntos!G12," - ")</f>
        <v>1.4390519187358917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15</v>
      </c>
      <c r="G14" s="1163">
        <f t="shared" si="5"/>
        <v>15</v>
      </c>
      <c r="H14" s="1162">
        <f t="shared" si="5"/>
        <v>0</v>
      </c>
      <c r="I14" s="1164">
        <f t="shared" si="5"/>
        <v>0</v>
      </c>
      <c r="J14" s="1164">
        <f t="shared" si="5"/>
        <v>0</v>
      </c>
      <c r="K14" s="1164">
        <f t="shared" si="5"/>
        <v>0</v>
      </c>
      <c r="L14" s="1164">
        <f t="shared" si="5"/>
        <v>344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28</v>
      </c>
      <c r="X14" s="1164">
        <f t="shared" si="6"/>
        <v>381</v>
      </c>
      <c r="Y14" s="1165">
        <f t="shared" si="6"/>
        <v>409</v>
      </c>
      <c r="Z14" s="1165">
        <f t="shared" si="6"/>
        <v>0</v>
      </c>
      <c r="AA14" s="1165">
        <f t="shared" si="6"/>
        <v>19</v>
      </c>
      <c r="AB14" s="1165">
        <f t="shared" si="6"/>
        <v>1387</v>
      </c>
      <c r="AC14" s="1165">
        <f t="shared" si="6"/>
        <v>46</v>
      </c>
      <c r="AD14" s="1165">
        <f t="shared" si="6"/>
        <v>0</v>
      </c>
      <c r="AE14" s="1169">
        <f t="shared" si="6"/>
        <v>0</v>
      </c>
      <c r="AF14" s="1162">
        <f t="shared" si="6"/>
        <v>0</v>
      </c>
      <c r="AG14" s="1170">
        <f t="shared" si="6"/>
        <v>0</v>
      </c>
      <c r="AH14" s="1167">
        <f t="shared" si="6"/>
        <v>0</v>
      </c>
      <c r="AI14" s="1162">
        <f t="shared" si="6"/>
        <v>435</v>
      </c>
      <c r="AJ14" s="1164">
        <f t="shared" si="6"/>
        <v>0</v>
      </c>
      <c r="AK14" s="1167">
        <f>SUBTOTAL(9,AK9:AK13)</f>
        <v>0</v>
      </c>
      <c r="AL14" s="1171">
        <f>IF(ISNUMBER(NºAsuntos!G14/NºAsuntos!E14),NºAsuntos!G14/NºAsuntos!E14," - ")</f>
        <v>0.89910089910089908</v>
      </c>
      <c r="AM14" s="1171">
        <f>IF(ISNUMBER(((NºAsuntos!I14/NºAsuntos!G14)*11)/factor_trimestre),((NºAsuntos!I14/NºAsuntos!G14)*11)/factor_trimestre," - ")</f>
        <v>4.7483333333333331</v>
      </c>
      <c r="AN14" s="1172">
        <f>IF(ISNUMBER('Resol  Asuntos'!D14/NºAsuntos!G14),'Resol  Asuntos'!D14/NºAsuntos!G14," - ")</f>
        <v>0.24166666666666667</v>
      </c>
      <c r="AO14" s="1173">
        <f>IF(ISNUMBER((NºAsuntos!C14+NºAsuntos!E14)/NºAsuntos!G14),(NºAsuntos!C14+NºAsuntos!E14)/NºAsuntos!G14," - ")</f>
        <v>1.4427777777777777</v>
      </c>
      <c r="AP14" s="1174" t="str">
        <f t="shared" si="2"/>
        <v xml:space="preserve"> - </v>
      </c>
      <c r="AQ14" s="1174">
        <f>IF(ISNUMBER((H14-W14+K14)/(F14)),(H14-W14+K14)/(F14)," - ")</f>
        <v>-1.8666666666666667</v>
      </c>
      <c r="AR14" s="1175">
        <f>IF(ISNUMBER((Datos!P14-Datos!Q14)/(Datos!R14-Datos!P14+Datos!Q14)),(Datos!P14-Datos!Q14)/(Datos!R14-Datos!P14+Datos!Q14)," - ")</f>
        <v>-2.5983146067415731E-2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419</v>
      </c>
      <c r="G17" s="373">
        <f>IF(ISNUMBER(IF(D_I="SI",Datos!I17,Datos!I17+Datos!AC17)),IF(D_I="SI",Datos!I17,Datos!I17+Datos!AC17)," - ")</f>
        <v>381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1540</v>
      </c>
      <c r="X17" s="240">
        <f>IF(ISNUMBER(Datos!Q17),Datos!Q17," - ")</f>
        <v>52</v>
      </c>
      <c r="Y17" s="374">
        <f t="shared" ref="Y17:Y22" si="9">SUM(W17:X17)</f>
        <v>1592</v>
      </c>
      <c r="Z17" s="375" t="str">
        <f>IF(ISNUMBER(Datos!CC17),Datos!CC17," - ")</f>
        <v xml:space="preserve"> - </v>
      </c>
      <c r="AA17" s="372">
        <f>IF(ISNUMBER(IF(D_I="SI",Datos!L17,Datos!L17+Datos!AF17)),IF(D_I="SI",Datos!L17,Datos!L17+Datos!AF17)," - ")</f>
        <v>544</v>
      </c>
      <c r="AB17" s="374">
        <f>IF(ISNUMBER(Datos!R17),Datos!R17," - ")</f>
        <v>81</v>
      </c>
      <c r="AC17" s="374">
        <f t="shared" si="8"/>
        <v>625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258</v>
      </c>
      <c r="AJ17" s="245" t="str">
        <f>IF(ISNUMBER(Datos!BW17),Datos!BW17," - ")</f>
        <v xml:space="preserve"> - </v>
      </c>
      <c r="AK17" s="246" t="str">
        <f>IF(ISNUMBER(Datos!BX17),Datos!BX17," - ")</f>
        <v xml:space="preserve"> - </v>
      </c>
      <c r="AL17" s="266">
        <f>IF(ISNUMBER(NºAsuntos!G17/NºAsuntos!E17),NºAsuntos!G17/NºAsuntos!E17," - ")</f>
        <v>0.92492492492492495</v>
      </c>
      <c r="AM17" s="284">
        <f>IF(ISNUMBER(((NºAsuntos!I17/NºAsuntos!G17)*11)/factor_trimestre),((NºAsuntos!I17/NºAsuntos!G17)*11)/factor_trimestre," - ")</f>
        <v>3.8857142857142857</v>
      </c>
      <c r="AN17" s="267">
        <f>IF(ISNUMBER('Resol  Asuntos'!D17/NºAsuntos!G17),'Resol  Asuntos'!D17/NºAsuntos!G17," - ")</f>
        <v>0.16753246753246753</v>
      </c>
      <c r="AO17" s="268">
        <f>IF(ISNUMBER((NºAsuntos!C17+NºAsuntos!E17)/NºAsuntos!G17),(NºAsuntos!C17+NºAsuntos!E17)/NºAsuntos!G17," - ")</f>
        <v>1.3285714285714285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79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178</v>
      </c>
      <c r="X18" s="240">
        <f>IF(ISNUMBER(Datos!Q18),Datos!Q18," - ")</f>
        <v>0</v>
      </c>
      <c r="Y18" s="374">
        <f t="shared" si="9"/>
        <v>178</v>
      </c>
      <c r="Z18" s="375" t="str">
        <f>IF(ISNUMBER(Datos!CC18),Datos!CC18," - ")</f>
        <v xml:space="preserve"> - </v>
      </c>
      <c r="AA18" s="372">
        <f>IF(ISNUMBER(Datos!L18),Datos!L18,"-")</f>
        <v>108</v>
      </c>
      <c r="AB18" s="374">
        <f>IF(ISNUMBER(Datos!R18),Datos!R18," - ")</f>
        <v>2</v>
      </c>
      <c r="AC18" s="374">
        <f t="shared" si="8"/>
        <v>110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11</v>
      </c>
      <c r="AJ18" s="245" t="str">
        <f>IF(ISNUMBER(Datos!BW18),Datos!BW18," - ")</f>
        <v xml:space="preserve"> - </v>
      </c>
      <c r="AK18" s="246" t="str">
        <f>IF(ISNUMBER(Datos!BX18),Datos!BX18," - ")</f>
        <v xml:space="preserve"> - </v>
      </c>
      <c r="AL18" s="266">
        <f>IF(ISNUMBER(NºAsuntos!G18/NºAsuntos!E18),NºAsuntos!G18/NºAsuntos!E18," - ")</f>
        <v>0.9128205128205128</v>
      </c>
      <c r="AM18" s="284">
        <f>IF(ISNUMBER(((NºAsuntos!I18/NºAsuntos!G18)*11)/factor_trimestre),((NºAsuntos!I18/NºAsuntos!G18)*11)/factor_trimestre," - ")</f>
        <v>6.6741573033707873</v>
      </c>
      <c r="AN18" s="267">
        <f>IF(ISNUMBER('Resol  Asuntos'!D18/NºAsuntos!G18),'Resol  Asuntos'!D18/NºAsuntos!G18," - ")</f>
        <v>6.1797752808988762E-2</v>
      </c>
      <c r="AO18" s="268">
        <f>IF(ISNUMBER((NºAsuntos!C18+NºAsuntos!E18)/NºAsuntos!G18),(NºAsuntos!C18+NºAsuntos!E18)/NºAsuntos!G18," - ")</f>
        <v>1.5393258426966292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419</v>
      </c>
      <c r="G23" s="1163">
        <f>SUBTOTAL(9,G16:G22)</f>
        <v>460</v>
      </c>
      <c r="H23" s="1162">
        <f t="shared" ref="H23:O23" si="13">SUBTOTAL(9,H15:H22)</f>
        <v>0</v>
      </c>
      <c r="I23" s="1164">
        <f t="shared" si="13"/>
        <v>0</v>
      </c>
      <c r="J23" s="1164">
        <f t="shared" si="13"/>
        <v>0</v>
      </c>
      <c r="K23" s="1164">
        <f t="shared" si="13"/>
        <v>0</v>
      </c>
      <c r="L23" s="1164">
        <f t="shared" si="13"/>
        <v>55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1718</v>
      </c>
      <c r="X23" s="1164">
        <f t="shared" si="14"/>
        <v>52</v>
      </c>
      <c r="Y23" s="1165">
        <f t="shared" si="14"/>
        <v>1770</v>
      </c>
      <c r="Z23" s="1165">
        <f t="shared" si="14"/>
        <v>0</v>
      </c>
      <c r="AA23" s="1165">
        <f t="shared" si="14"/>
        <v>652</v>
      </c>
      <c r="AB23" s="1165">
        <f t="shared" si="14"/>
        <v>83</v>
      </c>
      <c r="AC23" s="1165">
        <f t="shared" si="14"/>
        <v>735</v>
      </c>
      <c r="AD23" s="1165">
        <f t="shared" si="14"/>
        <v>0</v>
      </c>
      <c r="AE23" s="1169">
        <f t="shared" si="14"/>
        <v>0</v>
      </c>
      <c r="AF23" s="1162">
        <f t="shared" si="14"/>
        <v>0</v>
      </c>
      <c r="AG23" s="1170">
        <f t="shared" si="14"/>
        <v>0</v>
      </c>
      <c r="AH23" s="1167">
        <f t="shared" si="14"/>
        <v>0</v>
      </c>
      <c r="AI23" s="1162">
        <f t="shared" si="14"/>
        <v>269</v>
      </c>
      <c r="AJ23" s="1164">
        <f t="shared" si="14"/>
        <v>0</v>
      </c>
      <c r="AK23" s="1167">
        <f t="shared" si="14"/>
        <v>0</v>
      </c>
      <c r="AL23" s="1171">
        <f>IF(ISNUMBER(NºAsuntos!G23/NºAsuntos!E23),NºAsuntos!G23/NºAsuntos!E23," - ")</f>
        <v>0.92365591397849467</v>
      </c>
      <c r="AM23" s="1171">
        <f>IF(ISNUMBER(((NºAsuntos!I23/NºAsuntos!G23)*11)/factor_trimestre),((NºAsuntos!I23/NºAsuntos!G23)*11)/factor_trimestre," - ")</f>
        <v>4.1746216530849827</v>
      </c>
      <c r="AN23" s="1172">
        <f>IF(ISNUMBER('Resol  Asuntos'!D23/NºAsuntos!G23),'Resol  Asuntos'!D23/NºAsuntos!G23," - ")</f>
        <v>0.15657741559953434</v>
      </c>
      <c r="AO23" s="1173">
        <f>IF(ISNUMBER((NºAsuntos!C23+NºAsuntos!E23)/NºAsuntos!G23),(NºAsuntos!C23+NºAsuntos!E23)/NºAsuntos!G23," - ")</f>
        <v>1.350407450523865</v>
      </c>
      <c r="AP23" s="1174" t="str">
        <f t="shared" si="2"/>
        <v xml:space="preserve"> - </v>
      </c>
      <c r="AQ23" s="1174">
        <f>IF(ISNUMBER((H23-W23+K23)/(F23)),(H23-W23+K23)/(F23)," - ")</f>
        <v>-4.100238663484487</v>
      </c>
      <c r="AR23" s="1175">
        <f>IF(ISNUMBER((Datos!P23-Datos!Q23)/(Datos!R23-Datos!P23+Datos!Q23)),(Datos!P23-Datos!Q23)/(Datos!R23-Datos!P23+Datos!Q23)," - ")</f>
        <v>3.7499999999999999E-2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434</v>
      </c>
      <c r="G31" s="1118">
        <f t="shared" si="20"/>
        <v>475</v>
      </c>
      <c r="H31" s="1117">
        <f t="shared" si="20"/>
        <v>0</v>
      </c>
      <c r="I31" s="1119">
        <f t="shared" si="20"/>
        <v>0</v>
      </c>
      <c r="J31" s="1119">
        <f t="shared" si="20"/>
        <v>0</v>
      </c>
      <c r="K31" s="1180">
        <f t="shared" si="20"/>
        <v>0</v>
      </c>
      <c r="L31" s="1119">
        <f t="shared" si="20"/>
        <v>399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1746</v>
      </c>
      <c r="X31" s="1118">
        <f t="shared" si="21"/>
        <v>433</v>
      </c>
      <c r="Y31" s="1125">
        <f t="shared" si="21"/>
        <v>2179</v>
      </c>
      <c r="Z31" s="1125">
        <f t="shared" si="21"/>
        <v>0</v>
      </c>
      <c r="AA31" s="1125">
        <f t="shared" si="21"/>
        <v>671</v>
      </c>
      <c r="AB31" s="1125">
        <f t="shared" si="21"/>
        <v>1470</v>
      </c>
      <c r="AC31" s="1125">
        <f t="shared" si="21"/>
        <v>781</v>
      </c>
      <c r="AD31" s="1125">
        <f t="shared" si="21"/>
        <v>0</v>
      </c>
      <c r="AE31" s="1127">
        <f t="shared" si="21"/>
        <v>0</v>
      </c>
      <c r="AF31" s="1128">
        <f t="shared" si="21"/>
        <v>0</v>
      </c>
      <c r="AG31" s="1129">
        <f t="shared" si="21"/>
        <v>0</v>
      </c>
      <c r="AH31" s="1127">
        <f t="shared" si="21"/>
        <v>0</v>
      </c>
      <c r="AI31" s="1117">
        <f t="shared" si="21"/>
        <v>704</v>
      </c>
      <c r="AJ31" s="1117">
        <f t="shared" si="21"/>
        <v>0</v>
      </c>
      <c r="AK31" s="1127">
        <f t="shared" si="21"/>
        <v>0</v>
      </c>
      <c r="AL31" s="1183">
        <f>IF(ISNUMBER(NºAsuntos!G31/NºAsuntos!E31),NºAsuntos!G31/NºAsuntos!E31," - ")</f>
        <v>0.91092698083894352</v>
      </c>
      <c r="AM31" s="1184">
        <f>IF(ISNUMBER(((NºAsuntos!I31/NºAsuntos!G31)*11)/factor_trimestre),((NºAsuntos!I31/NºAsuntos!G31)*11)/factor_trimestre," - ")</f>
        <v>4.4681637293916996</v>
      </c>
      <c r="AN31" s="1184">
        <f>IF(ISNUMBER('Resol  Asuntos'!D31/NºAsuntos!G31),'Resol  Asuntos'!D31/NºAsuntos!G31," - ")</f>
        <v>0.20011370096645822</v>
      </c>
      <c r="AO31" s="1185">
        <f>IF(ISNUMBER((NºAsuntos!C31+NºAsuntos!E31)/NºAsuntos!G31),(NºAsuntos!C31+NºAsuntos!E31)/NºAsuntos!G31," - ")</f>
        <v>1.3976691301876065</v>
      </c>
      <c r="AP31" s="1186" t="str">
        <f t="shared" si="2"/>
        <v xml:space="preserve"> - </v>
      </c>
      <c r="AQ31" s="1187">
        <f>IF(OR(ISNUMBER(FIND("01",Criterios!A8,1)),ISNUMBER(FIND("02",Criterios!A8,1)),ISNUMBER(FIND("03",Criterios!A8,1)),ISNUMBER(FIND("04",Criterios!A8,1))),(I31-W31+K31)/(F31-K31),(H31-W31+K31)/(F31-K31))</f>
        <v>-4.0230414746543781</v>
      </c>
      <c r="AR31" s="1188">
        <f>IF(ISNUMBER((Datos!P31-Datos!Q31)/(Datos!R31-Datos!P31+Datos!Q31)),(Datos!P31-Datos!Q31)/(Datos!R31-Datos!P31+Datos!Q31)," - ")</f>
        <v>-2.2606382978723406E-2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135.71428571428572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212.60354340101358</v>
      </c>
      <c r="G33" s="277">
        <f>IF(ISNUMBER(STDEV(G8:G30)),STDEV(G8:G30),"-")</f>
        <v>197.70492683602527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776.14075797530188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193.16462261131417</v>
      </c>
      <c r="AJ33" s="276">
        <f t="shared" si="25"/>
        <v>0</v>
      </c>
      <c r="AK33" s="278">
        <f t="shared" si="25"/>
        <v>0</v>
      </c>
      <c r="AL33" s="273">
        <f t="shared" si="25"/>
        <v>1.8799902412893046E-2</v>
      </c>
      <c r="AM33" s="274">
        <f t="shared" si="25"/>
        <v>1.4486794824141132</v>
      </c>
      <c r="AN33" s="274">
        <f t="shared" si="25"/>
        <v>9.9956360376932493E-2</v>
      </c>
      <c r="AO33" s="275">
        <f t="shared" si="25"/>
        <v>0.1296357696970564</v>
      </c>
      <c r="AP33" s="317" t="str">
        <f t="shared" si="25"/>
        <v>-</v>
      </c>
      <c r="AQ33" s="318">
        <f t="shared" si="25"/>
        <v>1.5793739052182605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15 abr. 2023</v>
      </c>
      <c r="D42" s="130"/>
    </row>
    <row r="44" spans="1:52">
      <c r="C44" s="1"/>
      <c r="D44" s="1"/>
    </row>
  </sheetData>
  <sheetProtection algorithmName="SHA-512" hashValue="1xMMvemT4sQiipoLIT/dQBDj/884h5xKlb+4aKxSj7qn6t8OdD2WHyXFneE0QzVUu8bwKnyyTdZk7IB6a5JZ7g==" saltValue="UTLzEcd/ZeMPQ5/oTRTDV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NAVARRA</v>
      </c>
      <c r="E2" s="287"/>
    </row>
    <row r="3" spans="2:20" ht="17.25" customHeight="1">
      <c r="C3" s="291"/>
      <c r="D3" s="286" t="str">
        <f>Criterios!A10 &amp;"  "&amp;Criterios!B10</f>
        <v>Provincias  NAVARRA</v>
      </c>
      <c r="E3" s="287"/>
    </row>
    <row r="4" spans="2:20" ht="17.25" customHeight="1" thickBot="1">
      <c r="D4" s="286" t="str">
        <f>Criterios!A11 &amp;"  "&amp;Criterios!B11</f>
        <v>Resumenes por Partidos Judiciales  AOIZ-AGOITZ</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0.36363636363636365</v>
      </c>
      <c r="E10" s="393">
        <f>IF(ISNUMBER((Datos!J10-Datos!T10)/Datos!T10),(Datos!J10-Datos!T10)/Datos!T10," - ")</f>
        <v>-3.0303030303030304E-2</v>
      </c>
      <c r="F10" s="393">
        <f>IF(ISNUMBER((Datos!K10-Datos!U10)/Datos!U10),(Datos!K10-Datos!U10)/Datos!U10," - ")</f>
        <v>-3.4482758620689655E-2</v>
      </c>
      <c r="G10" s="394">
        <f>IF(ISNUMBER((Datos!L10-Datos!V10)/Datos!V10),(Datos!L10-Datos!V10)/Datos!V10," - ")</f>
        <v>0.26666666666666666</v>
      </c>
      <c r="H10" s="244">
        <f>IF(ISNUMBER((Datos!M10-Datos!W10)/Datos!W10),(Datos!M10-Datos!W10)/Datos!W10," - ")</f>
        <v>0</v>
      </c>
      <c r="I10" s="395">
        <f>IF(ISNUMBER((Tasas!C10-Datos!BE10)/Datos!BE10),(Tasas!C10-Datos!BE10)/Datos!BE10," - ")</f>
        <v>0.31190476190476185</v>
      </c>
      <c r="J10" s="394">
        <f>IF(ISNUMBER((Tasas!D10-Datos!BF10)/Datos!BF10),(Tasas!D10-Datos!BF10)/Datos!BF10," - ")</f>
        <v>3.5714285714285671E-2</v>
      </c>
      <c r="K10" s="396">
        <f>IF(ISNUMBER((Tasas!E10-Datos!BG10)/Datos!BG10),(Tasas!E10-Datos!BG10)/Datos!BG10," - ")</f>
        <v>0.1063311688311689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-0.2230347349177331</v>
      </c>
      <c r="I12" s="395">
        <f>IF(ISNUMBER((Tasas!C12-Datos!BE12)/Datos!BE12),(Tasas!C12-Datos!BE12)/Datos!BE12," - ")</f>
        <v>0.39392465166965063</v>
      </c>
      <c r="J12" s="394">
        <f>IF(ISNUMBER((Tasas!D12-Datos!BF12)/Datos!BF12),(Tasas!D12-Datos!BF12)/Datos!BF12," - ")</f>
        <v>-0.38073585464234172</v>
      </c>
      <c r="K12" s="396">
        <f>IF(ISNUMBER((Tasas!E12-Datos!BG12)/Datos!BG12),(Tasas!E12-Datos!BG12)/Datos!BG12," - ")</f>
        <v>0.10113689328373889</v>
      </c>
      <c r="M12" t="e">
        <f>IF(Monitorios="SI",Datos!CE12,0)</f>
        <v>#REF!</v>
      </c>
      <c r="N12" t="e">
        <f>IF(Monitorios="SI",Datos!CF12,0)</f>
        <v>#REF!</v>
      </c>
      <c r="O12" t="e">
        <f>IF(Monitorios="SI",Datos!CG12,0)</f>
        <v>#REF!</v>
      </c>
      <c r="P12" t="e">
        <f>IF(Monitorios="SI",Datos!CH12,0)</f>
        <v>#REF!</v>
      </c>
      <c r="Q12">
        <f>IF(J_V="SI",0,Datos!AG12)</f>
        <v>8</v>
      </c>
      <c r="R12">
        <f>IF(J_V="SI",0,Datos!AH12)</f>
        <v>233</v>
      </c>
      <c r="S12">
        <f>IF(J_V="SI",0,Datos!AI12)</f>
        <v>199</v>
      </c>
      <c r="T12">
        <f>IF(J_V="SI",0,Datos!AJ12)</f>
        <v>42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-0.21903052064631956</v>
      </c>
      <c r="I14" s="402">
        <f>IF(ISNUMBER((Tasas!C14-Datos!BE14)/Datos!BE14),(Tasas!C14-Datos!BE14)/Datos!BE14," - ")</f>
        <v>0.3922156862745097</v>
      </c>
      <c r="J14" s="400">
        <f>IF(ISNUMBER((Tasas!D14-Datos!BF14)/Datos!BF14),(Tasas!D14-Datos!BF14)/Datos!BF14," - ")</f>
        <v>-0.37498876909254264</v>
      </c>
      <c r="K14" s="403">
        <f>IF(ISNUMBER((Tasas!E14-Datos!BG14)/Datos!BG14),(Tasas!E14-Datos!BG14)/Datos!BG14," - ")</f>
        <v>0.10130889242464421</v>
      </c>
      <c r="M14" t="e">
        <f>IF(Monitorios="SI",Datos!CE14,0)</f>
        <v>#REF!</v>
      </c>
      <c r="N14" t="e">
        <f>IF(Monitorios="SI",Datos!CF14,0)</f>
        <v>#REF!</v>
      </c>
      <c r="O14" t="e">
        <f>IF(Monitorios="SI",Datos!CG14,0)</f>
        <v>#REF!</v>
      </c>
      <c r="P14" t="e">
        <f>IF(Monitorios="SI",Datos!CH14,0)</f>
        <v>#REF!</v>
      </c>
      <c r="Q14">
        <f>IF(J_V="SI",0,Datos!AG14)</f>
        <v>8</v>
      </c>
      <c r="R14">
        <f>IF(J_V="SI",0,Datos!AH14)</f>
        <v>233</v>
      </c>
      <c r="S14">
        <f>IF(J_V="SI",0,Datos!AI14)</f>
        <v>199</v>
      </c>
      <c r="T14">
        <f>IF(J_V="SI",0,Datos!AJ14)</f>
        <v>42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-6.6176470588235295E-2</v>
      </c>
      <c r="E17" s="393">
        <f>IF(ISNUMBER(
   IF(D_I="SI",(Datos!J17-Datos!T17)/Datos!T17,(Datos!J17+Datos!AD17-(Datos!T17+Datos!AL17))/(Datos!T17+Datos!AL17))
     ),IF(D_I="SI",(Datos!J17-Datos!T17)/Datos!T17,(Datos!J17+Datos!AD17-(Datos!T17+Datos!AL17))/(Datos!T17+Datos!AL17))," - ")</f>
        <v>0.48660714285714285</v>
      </c>
      <c r="F17" s="393">
        <f>IF(ISNUMBER(
   IF(D_I="SI",(Datos!K17-Datos!U17)/Datos!U17,(Datos!K17+Datos!AE17-(Datos!U17+Datos!AM17))/(Datos!U17+Datos!AM17))
     ),IF(D_I="SI",(Datos!K17-Datos!U17)/Datos!U17,(Datos!K17+Datos!AE17-(Datos!U17+Datos!AM17))/(Datos!U17+Datos!AM17))," - ")</f>
        <v>0.29194630872483224</v>
      </c>
      <c r="G17" s="394">
        <f>IF(ISNUMBER(
   IF(D_I="SI",(Datos!L17-Datos!V17)/Datos!V17,(Datos!L17+Datos!AF17-(Datos!V17+Datos!AN17))/(Datos!V17+Datos!AN17))
     ),IF(D_I="SI",(Datos!L17-Datos!V17)/Datos!V17,(Datos!L17+Datos!AF17-(Datos!V17+Datos!AN17))/(Datos!V17+Datos!AN17))," - ")</f>
        <v>0.42782152230971127</v>
      </c>
      <c r="H17" s="244">
        <f>IF(ISNUMBER((Datos!M17-Datos!W17)/Datos!W17),(Datos!M17-Datos!W17)/Datos!W17," - ")</f>
        <v>0.27722772277227725</v>
      </c>
      <c r="I17" s="395">
        <f>IF(ISNUMBER((Tasas!C17-Datos!BE17)/Datos!BE17),(Tasas!C17-Datos!BE17)/Datos!BE17," - ")</f>
        <v>0.10517094454102331</v>
      </c>
      <c r="J17" s="394">
        <f>IF(ISNUMBER((Tasas!D17-Datos!BF17)/Datos!BF17),(Tasas!D17-Datos!BF17)/Datos!BF17," - ")</f>
        <v>-1.1392567828211421E-2</v>
      </c>
      <c r="K17" s="396">
        <f>IF(ISNUMBER((Tasas!E17-Datos!BG17)/Datos!BG17),(Tasas!E17-Datos!BG17)/Datos!BG17," - ")</f>
        <v>3.6424831712789756E-2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-0.4513888888888889</v>
      </c>
      <c r="E18" s="393">
        <f>IF(ISNUMBER(
   IF(D_I="SI",(Datos!J18-Datos!T18)/Datos!T18,(Datos!J18+Datos!AD18-(Datos!T18+Datos!AL18))/(Datos!T18+Datos!AL18))
     ),IF(D_I="SI",(Datos!J18-Datos!T18)/Datos!T18,(Datos!J18+Datos!AD18-(Datos!T18+Datos!AL18))/(Datos!T18+Datos!AL18))," - ")</f>
        <v>0.25</v>
      </c>
      <c r="F18" s="393">
        <f>IF(ISNUMBER(
   IF(D_I="SI",(Datos!K18-Datos!U18)/Datos!U18,(Datos!K18+Datos!AE18-(Datos!U18+Datos!AM18))/(Datos!U18+Datos!AM18))
     ),IF(D_I="SI",(Datos!K18-Datos!U18)/Datos!U18,(Datos!K18+Datos!AE18-(Datos!U18+Datos!AM18))/(Datos!U18+Datos!AM18))," - ")</f>
        <v>-0.22943722943722944</v>
      </c>
      <c r="G18" s="394">
        <f>IF(ISNUMBER(
   IF(D_I="SI",(Datos!L18-Datos!V18)/Datos!V18,(Datos!L18+Datos!AF18-(Datos!V18+Datos!AN18))/(Datos!V18+Datos!AN18))
     ),IF(D_I="SI",(Datos!L18-Datos!V18)/Datos!V18,(Datos!L18+Datos!AF18-(Datos!V18+Datos!AN18))/(Datos!V18+Datos!AN18))," - ")</f>
        <v>0.36708860759493672</v>
      </c>
      <c r="H18" s="244">
        <f>IF(ISNUMBER((Datos!M18-Datos!W18)/Datos!W18),(Datos!M18-Datos!W18)/Datos!W18," - ")</f>
        <v>0</v>
      </c>
      <c r="I18" s="395">
        <f>IF(ISNUMBER((Tasas!C18-Datos!BE18)/Datos!BE18),(Tasas!C18-Datos!BE18)/Datos!BE18," - ")</f>
        <v>0.7741430806428673</v>
      </c>
      <c r="J18" s="394">
        <f>IF(ISNUMBER((Tasas!D18-Datos!BF18)/Datos!BF18),(Tasas!D18-Datos!BF18)/Datos!BF18," - ")</f>
        <v>0.29775280898876411</v>
      </c>
      <c r="K18" s="396">
        <f>IF(ISNUMBER((Tasas!E18-Datos!BG18)/Datos!BG18),(Tasas!E18-Datos!BG18)/Datos!BG18," - ")</f>
        <v>0.1852808988764045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-0.16666666666666666</v>
      </c>
      <c r="E23" s="399">
        <f>IF(ISNUMBER(
   IF(D_I="SI",(Datos!J23-Datos!T23)/Datos!T23,(Datos!J23+Datos!AD23-(Datos!T23+Datos!AL23))/(Datos!T23+Datos!AL23))
     ),IF(D_I="SI",(Datos!J23-Datos!T23)/Datos!T23,(Datos!J23+Datos!AD23-(Datos!T23+Datos!AL23))/(Datos!T23+Datos!AL23))," - ")</f>
        <v>0.45768025078369906</v>
      </c>
      <c r="F23" s="399">
        <f>IF(ISNUMBER(
   IF(D_I="SI",(Datos!K23-Datos!U23)/Datos!U23,(Datos!K23+Datos!AE23-(Datos!U23+Datos!AM23))/(Datos!U23+Datos!AM23))
     ),IF(D_I="SI",(Datos!K23-Datos!U23)/Datos!U23,(Datos!K23+Datos!AE23-(Datos!U23+Datos!AM23))/(Datos!U23+Datos!AM23))," - ")</f>
        <v>0.2073085031623331</v>
      </c>
      <c r="G23" s="400">
        <f>IF(ISNUMBER(
   IF(D_I="SI",(Datos!L23-Datos!V23)/Datos!V23,(Datos!L23+Datos!AF23-(Datos!V23+Datos!AN23))/(Datos!V23+Datos!AN23))
     ),IF(D_I="SI",(Datos!L23-Datos!V23)/Datos!V23,(Datos!L23+Datos!AF23-(Datos!V23+Datos!AN23))/(Datos!V23+Datos!AN23))," - ")</f>
        <v>0.41739130434782606</v>
      </c>
      <c r="H23" s="401">
        <f>IF(ISNUMBER((Datos!M23-Datos!W23)/Datos!W23),(Datos!M23-Datos!W23)/Datos!W23," - ")</f>
        <v>0.26291079812206575</v>
      </c>
      <c r="I23" s="402">
        <f>IF(ISNUMBER((Tasas!C23-Datos!BE23)/Datos!BE23),(Tasas!C23-Datos!BE23)/Datos!BE23," - ")</f>
        <v>0.17400921192488739</v>
      </c>
      <c r="J23" s="400">
        <f>IF(ISNUMBER((Tasas!D23-Datos!BF23)/Datos!BF23),(Tasas!D23-Datos!BF23)/Datos!BF23," - ")</f>
        <v>4.6054753042898321E-2</v>
      </c>
      <c r="K23" s="403">
        <f>IF(ISNUMBER((Tasas!E23-Datos!BG23)/Datos!BG23),(Tasas!E23-Datos!BG23)/Datos!BG23," - ")</f>
        <v>5.1219804209770153E-2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-3.8286235186873289E-2</v>
      </c>
      <c r="E31" s="409">
        <f>IF(ISNUMBER(
   IF(J_V="SI",(Datos!J31-Datos!T31)/Datos!T31,(Datos!J31+Datos!Z31-(Datos!T31+Datos!AH31))/(Datos!T31+Datos!AH31))
     ),IF(J_V="SI",(Datos!J31-Datos!T31)/Datos!T31,(Datos!J31+Datos!Z31-(Datos!T31+Datos!AH31))/(Datos!T31+Datos!AH31))," - ")</f>
        <v>0.19013867488443759</v>
      </c>
      <c r="F31" s="409">
        <f>IF(ISNUMBER(
   IF(J_V="SI",(Datos!K31-Datos!U31)/Datos!U31,(Datos!K31+Datos!AA31-(Datos!U31+Datos!AI31))/(Datos!U31+Datos!AI31))
     ),IF(J_V="SI",(Datos!K31-Datos!U31)/Datos!U31,(Datos!K31+Datos!AA31-(Datos!U31+Datos!AI31))/(Datos!U31+Datos!AI31))," - ")</f>
        <v>5.2663076002393776E-2</v>
      </c>
      <c r="G31" s="410">
        <f>IF(ISNUMBER(
   IF(J_V="SI",(Datos!L31-Datos!V31)/Datos!V31,(Datos!L31+Datos!AB31-(Datos!V31+Datos!AJ31))/(Datos!V31+Datos!AJ31))
     ),IF(J_V="SI",(Datos!L31-Datos!V31)/Datos!V31,(Datos!L31+Datos!AB31-(Datos!V31+Datos!AJ31))/(Datos!V31+Datos!AJ31))," - ")</f>
        <v>0.35450236966824644</v>
      </c>
      <c r="H31" s="411">
        <f>IF(ISNUMBER((Datos!M31-Datos!W31)/Datos!W31),(Datos!M31-Datos!W31)/Datos!W31," - ")</f>
        <v>-8.5714285714285715E-2</v>
      </c>
      <c r="I31" s="408">
        <f>IF(ISNUMBER((Tasas!C31-Datos!BE31)/Datos!BE31),(Tasas!C31-Datos!BE31)/Datos!BE31," - ")</f>
        <v>0.2867387491277088</v>
      </c>
      <c r="J31" s="409">
        <f>IF(ISNUMBER((Tasas!D31-Datos!BF31)/Datos!BF31),(Tasas!D31-Datos!BF31)/Datos!BF31," - ")</f>
        <v>-0.29970681818858286</v>
      </c>
      <c r="K31" s="410">
        <f>IF(ISNUMBER((Tasas!E31-Datos!BG31)/Datos!BG31),(Tasas!E31-Datos!BG31)/Datos!BG31," - ")</f>
        <v>7.5773890623441045E-2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0.33785847249189643</v>
      </c>
      <c r="E33" s="303">
        <f t="shared" si="1"/>
        <v>0.23871956878230938</v>
      </c>
      <c r="F33" s="303">
        <f t="shared" si="1"/>
        <v>0.23678002852767596</v>
      </c>
      <c r="G33" s="304">
        <f t="shared" si="1"/>
        <v>7.3655169426154479E-2</v>
      </c>
      <c r="H33" s="310">
        <f t="shared" si="1"/>
        <v>0.22004231370428792</v>
      </c>
      <c r="I33" s="302">
        <f t="shared" si="1"/>
        <v>0.23474853727280881</v>
      </c>
      <c r="J33" s="303">
        <f t="shared" si="1"/>
        <v>0.2656016136529783</v>
      </c>
      <c r="K33" s="304">
        <f t="shared" si="1"/>
        <v>5.2309522738535119E-2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15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ibodt+x5bCXqYP4EZE4rCqTcnc75+SgMK6W5AIsudXMLUh1Hl786TjeCQ4kBALn3pxOXgrCiTS56XBJ8Rh653A==" saltValue="33ZC3/7aTAxyKrH8Aw1eXg=="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2023-04-14T22:13:41Z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